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comments3.xml" ContentType="application/vnd.openxmlformats-officedocument.spreadsheetml.comments+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embeddings/oleObject59.bin" ContentType="application/vnd.openxmlformats-officedocument.oleObject"/>
  <Override PartName="/xl/embeddings/oleObject60.bin" ContentType="application/vnd.openxmlformats-officedocument.oleObject"/>
  <Override PartName="/xl/embeddings/oleObject61.bin" ContentType="application/vnd.openxmlformats-officedocument.oleObject"/>
  <Override PartName="/xl/embeddings/oleObject62.bin" ContentType="application/vnd.openxmlformats-officedocument.oleObject"/>
  <Override PartName="/xl/embeddings/oleObject63.bin" ContentType="application/vnd.openxmlformats-officedocument.oleObject"/>
  <Override PartName="/xl/embeddings/oleObject64.bin" ContentType="application/vnd.openxmlformats-officedocument.oleObject"/>
  <Override PartName="/xl/embeddings/oleObject65.bin" ContentType="application/vnd.openxmlformats-officedocument.oleObject"/>
  <Override PartName="/xl/embeddings/oleObject66.bin" ContentType="application/vnd.openxmlformats-officedocument.oleObject"/>
  <Override PartName="/xl/embeddings/oleObject67.bin" ContentType="application/vnd.openxmlformats-officedocument.oleObject"/>
  <Override PartName="/xl/embeddings/oleObject68.bin" ContentType="application/vnd.openxmlformats-officedocument.oleObject"/>
  <Override PartName="/xl/embeddings/oleObject69.bin" ContentType="application/vnd.openxmlformats-officedocument.oleObject"/>
  <Override PartName="/xl/embeddings/oleObject70.bin" ContentType="application/vnd.openxmlformats-officedocument.oleObject"/>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7055" yWindow="45" windowWidth="21210" windowHeight="20385"/>
  </bookViews>
  <sheets>
    <sheet name="Intro" sheetId="7" r:id="rId1"/>
    <sheet name="OLR Model" sheetId="8" r:id="rId2"/>
    <sheet name="Sensitivities" sheetId="4" r:id="rId3"/>
    <sheet name="Alternative Model" sheetId="9" r:id="rId4"/>
    <sheet name="Estimates" sheetId="6" r:id="rId5"/>
  </sheets>
  <definedNames>
    <definedName name="bandWidthDegrees">Sensitivities!$C$6</definedName>
    <definedName name="cloudFraction">'OLR Model'!$C$6</definedName>
    <definedName name="DBeta">'OLR Model'!$C$85</definedName>
    <definedName name="deltaBeta">Estimates!$N:$N</definedName>
    <definedName name="deltaGamma">Estimates!$M:$M</definedName>
    <definedName name="deltaHM">Estimates!$O:$O</definedName>
    <definedName name="deltaHU">Estimates!$L:$L</definedName>
    <definedName name="deltaHW">Estimates!$K:$K</definedName>
    <definedName name="deltaL">Estimates!$J:$J</definedName>
    <definedName name="deltaQ">Estimates!$P:$P</definedName>
    <definedName name="deltaR">Estimates!$W:$W</definedName>
    <definedName name="deltaTS">Estimates!$F:$F</definedName>
    <definedName name="DR2X">'Alternative Model'!$C$4</definedName>
    <definedName name="epsilon">Intro!$C$17</definedName>
    <definedName name="epsilonSurface">Sensitivities!$C$116</definedName>
    <definedName name="fAlpha">'Alternative Model'!$C$7</definedName>
    <definedName name="fLR">'Alternative Model'!$C$8</definedName>
    <definedName name="g">'OLR Model'!$C$91</definedName>
    <definedName name="gCPartial">'OLR Model'!$C$71</definedName>
    <definedName name="gCUniform">'OLR Model'!$C$70</definedName>
    <definedName name="gMPartial">'OLR Model'!$E$82</definedName>
    <definedName name="gMUniform">'OLR Model'!$D$82</definedName>
    <definedName name="gPartial">'OLR Model'!$C$90</definedName>
    <definedName name="gUniform">'OLR Model'!$C$89</definedName>
    <definedName name="gUPartial">'OLR Model'!$E$80</definedName>
    <definedName name="gUUniform">'OLR Model'!$D$80</definedName>
    <definedName name="gWPartial">'OLR Model'!$E$81</definedName>
    <definedName name="gWUniform">'OLR Model'!$D$81</definedName>
    <definedName name="lambdaC">Estimates!$T:$T</definedName>
    <definedName name="lambdaCSimple">Estimates!$Q:$Q</definedName>
    <definedName name="lambdaSB">'Alternative Model'!$C$5</definedName>
    <definedName name="lapseRate0">'OLR Model'!$C$4</definedName>
    <definedName name="M">'Alternative Model'!$C$6</definedName>
    <definedName name="omega">'Alternative Model'!$C$17</definedName>
    <definedName name="R_C">'OLR Model'!$G$50</definedName>
    <definedName name="R_M">'OLR Model'!$G$55</definedName>
    <definedName name="R_S">'OLR Model'!$G$51</definedName>
    <definedName name="R_U">'OLR Model'!$G$52</definedName>
    <definedName name="R_W">'OLR Model'!$G$53</definedName>
    <definedName name="R_Z">'OLR Model'!$G$54</definedName>
    <definedName name="radiusOfEarth">Sensitivities!$C$5</definedName>
    <definedName name="RS_clearsky">'OLR Model'!$E$51</definedName>
    <definedName name="RU_overcast">'OLR Model'!$F$52</definedName>
    <definedName name="sigma">Intro!$C$16</definedName>
    <definedName name="sigmaEpsilon">Intro!$C$18</definedName>
    <definedName name="tau">'OLR Model'!$C$88</definedName>
    <definedName name="tauC">'OLR Model'!$C$69</definedName>
    <definedName name="tauCSensitivity">Sensitivities!$C$119</definedName>
    <definedName name="tauM">'OLR Model'!$C$82</definedName>
    <definedName name="tauS">'OLR Model'!$C$79</definedName>
    <definedName name="tauU">'OLR Model'!$C$80</definedName>
    <definedName name="tauW">'OLR Model'!$C$81</definedName>
    <definedName name="TempEquator">Sensitivities!$C$4</definedName>
    <definedName name="temperatureIncrEL">Sensitivities!$C$115</definedName>
    <definedName name="temperatureIncrLat">Sensitivities!$C$7</definedName>
    <definedName name="temperatureIncrSeason">Sensitivities!$C$78</definedName>
    <definedName name="temperatureIncrTimeOfDay">Sensitivities!$C$40</definedName>
    <definedName name="TempMaxInDay">Sensitivities!$C$38</definedName>
    <definedName name="TempRangeInDay">Sensitivities!$C$39</definedName>
    <definedName name="TempSeason">Sensitivities!$C$77</definedName>
    <definedName name="thetaM">'OLR Model'!$F$82</definedName>
    <definedName name="thetaU">'OLR Model'!$F$80</definedName>
    <definedName name="thetaW">'OLR Model'!$F$81</definedName>
    <definedName name="treatCO2ELAsSBEmitter">Sensitivities!$C$117</definedName>
    <definedName name="TS">'OLR Model'!$C$5</definedName>
    <definedName name="V">Sensitivities!$B$3</definedName>
  </definedNames>
  <calcPr calcId="145621"/>
</workbook>
</file>

<file path=xl/calcChain.xml><?xml version="1.0" encoding="utf-8"?>
<calcChain xmlns="http://schemas.openxmlformats.org/spreadsheetml/2006/main">
  <c r="D23" i="6" l="1"/>
  <c r="F23" i="6"/>
  <c r="M23" i="6" s="1"/>
  <c r="I23" i="6"/>
  <c r="J23" i="6"/>
  <c r="AG23" i="6" s="1"/>
  <c r="AB23" i="6"/>
  <c r="AC23" i="6"/>
  <c r="AE23" i="6"/>
  <c r="AF23" i="6"/>
  <c r="AD23" i="6" l="1"/>
  <c r="P23" i="6"/>
  <c r="T23" i="6" s="1"/>
  <c r="Z23" i="6"/>
  <c r="AA23" i="6"/>
  <c r="Q23" i="6"/>
  <c r="V23" i="6" l="1"/>
  <c r="Y23" i="6"/>
  <c r="U23" i="6"/>
  <c r="R23" i="6"/>
  <c r="S23" i="6"/>
  <c r="W23" i="6"/>
  <c r="X23" i="6" s="1"/>
  <c r="AF17" i="6" l="1"/>
  <c r="AE17" i="6"/>
  <c r="AC17" i="6"/>
  <c r="AB17" i="6"/>
  <c r="J17" i="6"/>
  <c r="AG17" i="6" s="1"/>
  <c r="I17" i="6"/>
  <c r="D17" i="6"/>
  <c r="F17" i="6" s="1"/>
  <c r="AF16" i="6"/>
  <c r="AE16" i="6"/>
  <c r="AC16" i="6"/>
  <c r="AB16" i="6"/>
  <c r="J16" i="6"/>
  <c r="AG16" i="6" s="1"/>
  <c r="I16" i="6"/>
  <c r="D16" i="6"/>
  <c r="F16" i="6" s="1"/>
  <c r="D11" i="6"/>
  <c r="F11" i="6" s="1"/>
  <c r="AF11" i="6"/>
  <c r="AE11" i="6"/>
  <c r="AC11" i="6"/>
  <c r="AB11" i="6"/>
  <c r="J11" i="6"/>
  <c r="AG11" i="6" s="1"/>
  <c r="I11" i="6"/>
  <c r="AF10" i="6"/>
  <c r="AE10" i="6"/>
  <c r="AC10" i="6"/>
  <c r="AB10" i="6"/>
  <c r="J10" i="6"/>
  <c r="AG10" i="6" s="1"/>
  <c r="I10" i="6"/>
  <c r="F10" i="6"/>
  <c r="AA10" i="6" s="1"/>
  <c r="AF31" i="6"/>
  <c r="AE31" i="6"/>
  <c r="AC31" i="6"/>
  <c r="AB31" i="6"/>
  <c r="J31" i="6"/>
  <c r="AG31" i="6" s="1"/>
  <c r="I31" i="6"/>
  <c r="F31" i="6"/>
  <c r="AA31" i="6" s="1"/>
  <c r="Q11" i="6" l="1"/>
  <c r="R11" i="6" s="1"/>
  <c r="M17" i="6"/>
  <c r="AA17" i="6"/>
  <c r="Q17" i="6"/>
  <c r="Q16" i="6"/>
  <c r="AA16" i="6"/>
  <c r="M16" i="6"/>
  <c r="M11" i="6"/>
  <c r="Z11" i="6" s="1"/>
  <c r="S11" i="6"/>
  <c r="Q10" i="6"/>
  <c r="S10" i="6" s="1"/>
  <c r="M10" i="6"/>
  <c r="AA11" i="6"/>
  <c r="M31" i="6"/>
  <c r="AD31" i="6" s="1"/>
  <c r="Q31" i="6"/>
  <c r="S31" i="6" s="1"/>
  <c r="AD8" i="6"/>
  <c r="AD9" i="6"/>
  <c r="AD18" i="6"/>
  <c r="AD19" i="6"/>
  <c r="AD20" i="6"/>
  <c r="AD32" i="6"/>
  <c r="AD33" i="6"/>
  <c r="AD34" i="6"/>
  <c r="AD35" i="6"/>
  <c r="AD36" i="6"/>
  <c r="AD37" i="6"/>
  <c r="AD7" i="6"/>
  <c r="P8" i="6"/>
  <c r="P9" i="6"/>
  <c r="P18" i="6"/>
  <c r="P19" i="6"/>
  <c r="P20" i="6"/>
  <c r="P32" i="6"/>
  <c r="P33" i="6"/>
  <c r="P34" i="6"/>
  <c r="P35" i="6"/>
  <c r="P36" i="6"/>
  <c r="P37" i="6"/>
  <c r="P7" i="6"/>
  <c r="C91" i="8"/>
  <c r="C90" i="8"/>
  <c r="C71" i="8"/>
  <c r="S17" i="6" l="1"/>
  <c r="R17" i="6"/>
  <c r="Z17" i="6"/>
  <c r="P17" i="6"/>
  <c r="AD17" i="6"/>
  <c r="S16" i="6"/>
  <c r="R16" i="6"/>
  <c r="AD16" i="6"/>
  <c r="Z16" i="6"/>
  <c r="P16" i="6"/>
  <c r="P11" i="6"/>
  <c r="AD11" i="6"/>
  <c r="P10" i="6"/>
  <c r="AD10" i="6"/>
  <c r="Z10" i="6"/>
  <c r="R10" i="6"/>
  <c r="Z31" i="6"/>
  <c r="R31" i="6"/>
  <c r="P31" i="6"/>
  <c r="W31" i="6" s="1"/>
  <c r="X31" i="6" s="1"/>
  <c r="D63" i="8"/>
  <c r="E63" i="8" s="1"/>
  <c r="W17" i="6" l="1"/>
  <c r="X17" i="6" s="1"/>
  <c r="T17" i="6"/>
  <c r="T16" i="6"/>
  <c r="W16" i="6"/>
  <c r="X16" i="6" s="1"/>
  <c r="W11" i="6"/>
  <c r="X11" i="6" s="1"/>
  <c r="T11" i="6"/>
  <c r="T10" i="6"/>
  <c r="W10" i="6"/>
  <c r="X10" i="6" s="1"/>
  <c r="T31" i="6"/>
  <c r="V31" i="6" s="1"/>
  <c r="I8" i="6"/>
  <c r="I9" i="6"/>
  <c r="I12" i="6"/>
  <c r="I13" i="6"/>
  <c r="I14" i="6"/>
  <c r="I15" i="6"/>
  <c r="I18" i="6"/>
  <c r="I19" i="6"/>
  <c r="I20" i="6"/>
  <c r="I21" i="6"/>
  <c r="I22" i="6"/>
  <c r="I24" i="6"/>
  <c r="I25" i="6"/>
  <c r="I26" i="6"/>
  <c r="I27" i="6"/>
  <c r="I28" i="6"/>
  <c r="I29" i="6"/>
  <c r="I30" i="6"/>
  <c r="I32" i="6"/>
  <c r="I33" i="6"/>
  <c r="I34" i="6"/>
  <c r="I35" i="6"/>
  <c r="I36" i="6"/>
  <c r="I37" i="6"/>
  <c r="I7" i="6"/>
  <c r="J34" i="6"/>
  <c r="AG34" i="6" s="1"/>
  <c r="F34" i="6"/>
  <c r="J35" i="6"/>
  <c r="AG35" i="6" s="1"/>
  <c r="F35" i="6"/>
  <c r="Z37" i="6"/>
  <c r="J37" i="6"/>
  <c r="AG37" i="6" s="1"/>
  <c r="F37" i="6"/>
  <c r="J36" i="6"/>
  <c r="AG36" i="6" s="1"/>
  <c r="F36" i="6"/>
  <c r="J33" i="6"/>
  <c r="AG33" i="6" s="1"/>
  <c r="F33" i="6"/>
  <c r="Z32" i="6"/>
  <c r="J32" i="6"/>
  <c r="AG32" i="6" s="1"/>
  <c r="F32" i="6"/>
  <c r="Z19" i="6"/>
  <c r="J19" i="6"/>
  <c r="AG19" i="6" s="1"/>
  <c r="F19" i="6"/>
  <c r="Z20" i="6"/>
  <c r="J20" i="6"/>
  <c r="AG20" i="6" s="1"/>
  <c r="F20" i="6"/>
  <c r="J9" i="6"/>
  <c r="AG9" i="6" s="1"/>
  <c r="F9" i="6"/>
  <c r="J8" i="6"/>
  <c r="AG8" i="6" s="1"/>
  <c r="F8" i="6"/>
  <c r="Y31" i="6" l="1"/>
  <c r="U31" i="6"/>
  <c r="U17" i="6"/>
  <c r="Y17" i="6"/>
  <c r="V17" i="6"/>
  <c r="V16" i="6"/>
  <c r="U16" i="6"/>
  <c r="Y16" i="6"/>
  <c r="Y11" i="6"/>
  <c r="U11" i="6"/>
  <c r="V11" i="6"/>
  <c r="V10" i="6"/>
  <c r="Y10" i="6"/>
  <c r="U10" i="6"/>
  <c r="Z36" i="6"/>
  <c r="Z8" i="6"/>
  <c r="Z33" i="6" l="1"/>
  <c r="Z35" i="6"/>
  <c r="Z34" i="6"/>
  <c r="Z9" i="6"/>
  <c r="F12" i="6" l="1"/>
  <c r="M12" i="6" s="1"/>
  <c r="F13" i="6"/>
  <c r="M13" i="6" s="1"/>
  <c r="F14" i="6"/>
  <c r="M14" i="6" s="1"/>
  <c r="F15" i="6"/>
  <c r="M15" i="6" s="1"/>
  <c r="F18" i="6"/>
  <c r="F21" i="6"/>
  <c r="M21" i="6" s="1"/>
  <c r="F22" i="6"/>
  <c r="M22" i="6" s="1"/>
  <c r="F24" i="6"/>
  <c r="M24" i="6" s="1"/>
  <c r="F25" i="6"/>
  <c r="M25" i="6" s="1"/>
  <c r="F26" i="6"/>
  <c r="M26" i="6" s="1"/>
  <c r="F27" i="6"/>
  <c r="M27" i="6" s="1"/>
  <c r="F28" i="6"/>
  <c r="M28" i="6" s="1"/>
  <c r="F29" i="6"/>
  <c r="M29" i="6" s="1"/>
  <c r="F30" i="6"/>
  <c r="M30" i="6" s="1"/>
  <c r="F7" i="6"/>
  <c r="AD30" i="6" l="1"/>
  <c r="P30" i="6"/>
  <c r="AD24" i="6"/>
  <c r="P24" i="6"/>
  <c r="AD22" i="6"/>
  <c r="P22" i="6"/>
  <c r="AD15" i="6"/>
  <c r="P15" i="6"/>
  <c r="AD13" i="6"/>
  <c r="P13" i="6"/>
  <c r="AD28" i="6"/>
  <c r="P28" i="6"/>
  <c r="AD27" i="6"/>
  <c r="P27" i="6"/>
  <c r="AD14" i="6"/>
  <c r="P14" i="6"/>
  <c r="AD29" i="6"/>
  <c r="P29" i="6"/>
  <c r="AD12" i="6"/>
  <c r="P12" i="6"/>
  <c r="AD26" i="6"/>
  <c r="P26" i="6"/>
  <c r="AD21" i="6"/>
  <c r="P21" i="6"/>
  <c r="AD25" i="6"/>
  <c r="P25" i="6"/>
  <c r="Z18" i="6"/>
  <c r="Z7" i="6"/>
  <c r="J12" i="6" l="1"/>
  <c r="J13" i="6"/>
  <c r="J14" i="6"/>
  <c r="J15" i="6"/>
  <c r="J18" i="6"/>
  <c r="J21" i="6"/>
  <c r="J22" i="6"/>
  <c r="J24" i="6"/>
  <c r="J25" i="6"/>
  <c r="J26" i="6"/>
  <c r="J27" i="6"/>
  <c r="J28" i="6"/>
  <c r="J29" i="6"/>
  <c r="J30" i="6"/>
  <c r="J7" i="6"/>
  <c r="AG26" i="6" l="1"/>
  <c r="AG21" i="6"/>
  <c r="AG13" i="6"/>
  <c r="AG18" i="6"/>
  <c r="AG12" i="6"/>
  <c r="AG25" i="6"/>
  <c r="AG29" i="6"/>
  <c r="AG24" i="6"/>
  <c r="AG30" i="6"/>
  <c r="AG7" i="6"/>
  <c r="AG28" i="6"/>
  <c r="AG22" i="6"/>
  <c r="AG15" i="6"/>
  <c r="AG27" i="6"/>
  <c r="AG14" i="6"/>
  <c r="B34" i="7"/>
  <c r="E26" i="7"/>
  <c r="F26" i="7"/>
  <c r="G26" i="7"/>
  <c r="H26" i="7"/>
  <c r="G25" i="7" l="1"/>
  <c r="H25" i="7"/>
  <c r="H24" i="7"/>
  <c r="G24" i="7"/>
  <c r="E25" i="7"/>
  <c r="F25" i="7"/>
  <c r="F24" i="7"/>
  <c r="E24" i="7"/>
  <c r="B33" i="7"/>
  <c r="B32" i="7"/>
  <c r="B31" i="7"/>
  <c r="B30" i="7"/>
  <c r="G34" i="7" l="1"/>
  <c r="I34" i="7" s="1"/>
  <c r="F34" i="7"/>
  <c r="H34" i="7" s="1"/>
  <c r="F31" i="7"/>
  <c r="C31" i="7" s="1"/>
  <c r="I33" i="7"/>
  <c r="D33" i="7" s="1"/>
  <c r="H32" i="7"/>
  <c r="C32" i="7" s="1"/>
  <c r="F32" i="7" s="1"/>
  <c r="H33" i="7"/>
  <c r="C33" i="7" s="1"/>
  <c r="I32" i="7"/>
  <c r="D32" i="7" s="1"/>
  <c r="G32" i="7" s="1"/>
  <c r="F30" i="7"/>
  <c r="H30" i="7" s="1"/>
  <c r="G31" i="7"/>
  <c r="G30" i="7"/>
  <c r="D30" i="7" s="1"/>
  <c r="F33" i="7" l="1"/>
  <c r="G33" i="7"/>
  <c r="D34" i="7"/>
  <c r="E33" i="7"/>
  <c r="E32" i="7"/>
  <c r="C34" i="7"/>
  <c r="H31" i="7"/>
  <c r="D31" i="7"/>
  <c r="E31" i="7" s="1"/>
  <c r="I31" i="7"/>
  <c r="C30" i="7"/>
  <c r="E30" i="7" s="1"/>
  <c r="I30" i="7"/>
  <c r="E34" i="7" l="1"/>
  <c r="C14" i="9"/>
  <c r="C13" i="9"/>
  <c r="C11" i="9"/>
  <c r="C12" i="9" s="1"/>
  <c r="D22" i="9" l="1"/>
  <c r="D62" i="8" l="1"/>
  <c r="E62" i="8" s="1"/>
  <c r="G127" i="4" l="1"/>
  <c r="B62" i="8"/>
  <c r="C62" i="8" s="1"/>
  <c r="B63" i="8"/>
  <c r="C63" i="8" s="1"/>
  <c r="B61" i="8" l="1"/>
  <c r="D55" i="8"/>
  <c r="D53" i="8"/>
  <c r="C52" i="8"/>
  <c r="C51" i="8"/>
  <c r="D50" i="8"/>
  <c r="C35" i="8"/>
  <c r="C31" i="8"/>
  <c r="C32" i="8" s="1"/>
  <c r="B31" i="8"/>
  <c r="B32" i="8" s="1"/>
  <c r="C28" i="8"/>
  <c r="C29" i="8" s="1"/>
  <c r="B28" i="8"/>
  <c r="B29" i="8" s="1"/>
  <c r="C25" i="8"/>
  <c r="B25" i="8"/>
  <c r="C23" i="8"/>
  <c r="B23" i="8"/>
  <c r="B24" i="8" s="1"/>
  <c r="C20" i="8"/>
  <c r="B20" i="8"/>
  <c r="C19" i="8"/>
  <c r="B19" i="8"/>
  <c r="C18" i="8"/>
  <c r="B18" i="8"/>
  <c r="C15" i="8"/>
  <c r="B15" i="8"/>
  <c r="C14" i="8"/>
  <c r="B14" i="8"/>
  <c r="C13" i="8"/>
  <c r="B13" i="8"/>
  <c r="C12" i="8"/>
  <c r="B12" i="8"/>
  <c r="C11" i="8"/>
  <c r="B11" i="8"/>
  <c r="D81" i="8" l="1"/>
  <c r="E81" i="8"/>
  <c r="D82" i="8"/>
  <c r="E82" i="8"/>
  <c r="D61" i="8"/>
  <c r="D64" i="8" s="1"/>
  <c r="C61" i="8"/>
  <c r="B26" i="8"/>
  <c r="B64" i="8"/>
  <c r="B21" i="8"/>
  <c r="C16" i="8"/>
  <c r="B16" i="8"/>
  <c r="C21" i="8"/>
  <c r="C24" i="8"/>
  <c r="C26" i="8" s="1"/>
  <c r="D35" i="8"/>
  <c r="E56" i="8" s="1"/>
  <c r="F56" i="8" s="1"/>
  <c r="C64" i="8" l="1"/>
  <c r="C65" i="8" s="1"/>
  <c r="E61" i="8"/>
  <c r="E64" i="8" s="1"/>
  <c r="E65" i="8" s="1"/>
  <c r="D65" i="8"/>
  <c r="B33" i="8"/>
  <c r="B40" i="8" s="1"/>
  <c r="C33" i="8"/>
  <c r="C41" i="8" s="1"/>
  <c r="B39" i="8" l="1"/>
  <c r="C36" i="8"/>
  <c r="B41" i="8"/>
  <c r="D41" i="8" s="1"/>
  <c r="E55" i="8" s="1"/>
  <c r="F55" i="8" s="1"/>
  <c r="G55" i="8" s="1"/>
  <c r="B37" i="8"/>
  <c r="B36" i="8"/>
  <c r="C39" i="8"/>
  <c r="C37" i="8"/>
  <c r="C40" i="8"/>
  <c r="D40" i="8" s="1"/>
  <c r="E54" i="8" s="1"/>
  <c r="F54" i="8" s="1"/>
  <c r="G54" i="8" s="1"/>
  <c r="D39" i="8" l="1"/>
  <c r="E53" i="8" s="1"/>
  <c r="F53" i="8" s="1"/>
  <c r="G53" i="8" s="1"/>
  <c r="C81" i="8" s="1"/>
  <c r="B42" i="8"/>
  <c r="D36" i="8"/>
  <c r="E50" i="8" s="1"/>
  <c r="F50" i="8" s="1"/>
  <c r="C42" i="8"/>
  <c r="D37" i="8"/>
  <c r="E51" i="8" s="1"/>
  <c r="G51" i="8" s="1"/>
  <c r="C82" i="8"/>
  <c r="G50" i="8" l="1"/>
  <c r="D42" i="8"/>
  <c r="C79" i="8"/>
  <c r="F52" i="8"/>
  <c r="C85" i="8" s="1"/>
  <c r="F81" i="8"/>
  <c r="F82" i="8"/>
  <c r="AF8" i="6" l="1"/>
  <c r="AF20" i="6"/>
  <c r="AF36" i="6"/>
  <c r="AF37" i="6"/>
  <c r="AF9" i="6"/>
  <c r="AF35" i="6"/>
  <c r="AF19" i="6"/>
  <c r="AF34" i="6"/>
  <c r="AF33" i="6"/>
  <c r="AF32" i="6"/>
  <c r="AF25" i="6"/>
  <c r="AF29" i="6"/>
  <c r="AF15" i="6"/>
  <c r="AF22" i="6"/>
  <c r="AF13" i="6"/>
  <c r="AF21" i="6"/>
  <c r="AF27" i="6"/>
  <c r="AF12" i="6"/>
  <c r="AF14" i="6"/>
  <c r="AF18" i="6"/>
  <c r="AF24" i="6"/>
  <c r="AF26" i="6"/>
  <c r="AF28" i="6"/>
  <c r="AF30" i="6"/>
  <c r="AF7" i="6"/>
  <c r="AB32" i="6"/>
  <c r="AB8" i="6"/>
  <c r="AB34" i="6"/>
  <c r="AB36" i="6"/>
  <c r="AB33" i="6"/>
  <c r="AB37" i="6"/>
  <c r="AB20" i="6"/>
  <c r="AB35" i="6"/>
  <c r="AB19" i="6"/>
  <c r="AB9" i="6"/>
  <c r="AB13" i="6"/>
  <c r="AB15" i="6"/>
  <c r="AB21" i="6"/>
  <c r="AB22" i="6"/>
  <c r="AB25" i="6"/>
  <c r="AB27" i="6"/>
  <c r="AB29" i="6"/>
  <c r="AB28" i="6"/>
  <c r="AB12" i="6"/>
  <c r="AB18" i="6"/>
  <c r="AB26" i="6"/>
  <c r="AB14" i="6"/>
  <c r="AB24" i="6"/>
  <c r="AB30" i="6"/>
  <c r="AB7" i="6"/>
  <c r="AE33" i="6"/>
  <c r="AE37" i="6"/>
  <c r="AE8" i="6"/>
  <c r="AE20" i="6"/>
  <c r="AE35" i="6"/>
  <c r="AE36" i="6"/>
  <c r="AE9" i="6"/>
  <c r="AE19" i="6"/>
  <c r="AE32" i="6"/>
  <c r="AE34" i="6"/>
  <c r="AE13" i="6"/>
  <c r="AE15" i="6"/>
  <c r="AE21" i="6"/>
  <c r="AE22" i="6"/>
  <c r="AE25" i="6"/>
  <c r="AE27" i="6"/>
  <c r="AE29" i="6"/>
  <c r="AE12" i="6"/>
  <c r="AE14" i="6"/>
  <c r="AE18" i="6"/>
  <c r="AE24" i="6"/>
  <c r="AE26" i="6"/>
  <c r="AE28" i="6"/>
  <c r="AE30" i="6"/>
  <c r="AE7" i="6"/>
  <c r="D66" i="8"/>
  <c r="C66" i="8"/>
  <c r="E66" i="8"/>
  <c r="C69" i="8"/>
  <c r="C118" i="4" s="1"/>
  <c r="C119" i="4" s="1"/>
  <c r="C70" i="8"/>
  <c r="G52" i="8"/>
  <c r="G57" i="8" s="1"/>
  <c r="C80" i="8" l="1"/>
  <c r="F80" i="8" l="1"/>
  <c r="AC34" i="6" s="1"/>
  <c r="E80" i="8"/>
  <c r="AC33" i="6"/>
  <c r="AC20" i="6"/>
  <c r="AC8" i="6"/>
  <c r="AC35" i="6"/>
  <c r="AC19" i="6"/>
  <c r="AC26" i="6"/>
  <c r="AC15" i="6"/>
  <c r="AC21" i="6"/>
  <c r="AC22" i="6"/>
  <c r="AC25" i="6"/>
  <c r="AC27" i="6"/>
  <c r="AC14" i="6"/>
  <c r="AC18" i="6"/>
  <c r="AC28" i="6"/>
  <c r="AC12" i="6"/>
  <c r="AC30" i="6"/>
  <c r="AC7" i="6"/>
  <c r="D80" i="8"/>
  <c r="C89" i="8" s="1"/>
  <c r="C88" i="8"/>
  <c r="AC36" i="6" l="1"/>
  <c r="AC9" i="6"/>
  <c r="AC24" i="6"/>
  <c r="AC29" i="6"/>
  <c r="AC13" i="6"/>
  <c r="AC32" i="6"/>
  <c r="AC37" i="6"/>
  <c r="C17" i="9"/>
  <c r="C16" i="7"/>
  <c r="C18" i="7" s="1"/>
  <c r="W9" i="6" l="1"/>
  <c r="X9" i="6" s="1"/>
  <c r="Z28" i="6"/>
  <c r="W34" i="6"/>
  <c r="X34" i="6" s="1"/>
  <c r="W12" i="6"/>
  <c r="X12" i="6" s="1"/>
  <c r="W26" i="6"/>
  <c r="X26" i="6" s="1"/>
  <c r="W21" i="6"/>
  <c r="X21" i="6" s="1"/>
  <c r="T27" i="6"/>
  <c r="W33" i="6"/>
  <c r="X33" i="6" s="1"/>
  <c r="W32" i="6"/>
  <c r="X32" i="6" s="1"/>
  <c r="AA32" i="6"/>
  <c r="AA8" i="6"/>
  <c r="AA33" i="6"/>
  <c r="Q33" i="6"/>
  <c r="AA36" i="6"/>
  <c r="AA34" i="6"/>
  <c r="Q20" i="6"/>
  <c r="AA35" i="6"/>
  <c r="Q19" i="6"/>
  <c r="Q35" i="6"/>
  <c r="AA19" i="6"/>
  <c r="AA37" i="6"/>
  <c r="Q34" i="6"/>
  <c r="Q8" i="6"/>
  <c r="Q32" i="6"/>
  <c r="Q9" i="6"/>
  <c r="Q36" i="6"/>
  <c r="AA20" i="6"/>
  <c r="Q37" i="6"/>
  <c r="AA9" i="6"/>
  <c r="AA7" i="6"/>
  <c r="AA29" i="6"/>
  <c r="AA13" i="6"/>
  <c r="AA14" i="6"/>
  <c r="AA27" i="6"/>
  <c r="AA15" i="6"/>
  <c r="AA24" i="6"/>
  <c r="AA28" i="6"/>
  <c r="AA30" i="6"/>
  <c r="AA25" i="6"/>
  <c r="AA22" i="6"/>
  <c r="AA18" i="6"/>
  <c r="AA26" i="6"/>
  <c r="AA12" i="6"/>
  <c r="AA21" i="6"/>
  <c r="Q26" i="6"/>
  <c r="Q25" i="6"/>
  <c r="Q29" i="6"/>
  <c r="Q22" i="6"/>
  <c r="Q21" i="6"/>
  <c r="Q15" i="6"/>
  <c r="Q13" i="6"/>
  <c r="Q27" i="6"/>
  <c r="Q7" i="6"/>
  <c r="Q24" i="6"/>
  <c r="Q28" i="6"/>
  <c r="Q14" i="6"/>
  <c r="Q18" i="6"/>
  <c r="Q12" i="6"/>
  <c r="Q30" i="6"/>
  <c r="W15" i="6"/>
  <c r="X15" i="6" s="1"/>
  <c r="T15" i="6"/>
  <c r="Z22" i="6"/>
  <c r="Z14" i="6"/>
  <c r="W7" i="6"/>
  <c r="X7" i="6" s="1"/>
  <c r="T7" i="6"/>
  <c r="Z13" i="6"/>
  <c r="T36" i="6"/>
  <c r="W36" i="6"/>
  <c r="X36" i="6" s="1"/>
  <c r="T8" i="6"/>
  <c r="W8" i="6"/>
  <c r="X8" i="6" s="1"/>
  <c r="W20" i="6"/>
  <c r="X20" i="6" s="1"/>
  <c r="T20" i="6"/>
  <c r="T22" i="6"/>
  <c r="W22" i="6"/>
  <c r="X22" i="6" s="1"/>
  <c r="W37" i="6"/>
  <c r="X37" i="6" s="1"/>
  <c r="T37" i="6"/>
  <c r="W13" i="6"/>
  <c r="X13" i="6" s="1"/>
  <c r="T13" i="6"/>
  <c r="T19" i="6"/>
  <c r="W19" i="6"/>
  <c r="X19" i="6" s="1"/>
  <c r="T34" i="6"/>
  <c r="W27" i="6"/>
  <c r="X27" i="6" s="1"/>
  <c r="W29" i="6"/>
  <c r="X29" i="6" s="1"/>
  <c r="T29" i="6"/>
  <c r="T18" i="6"/>
  <c r="W18" i="6"/>
  <c r="X18" i="6" s="1"/>
  <c r="Z15" i="6"/>
  <c r="W35" i="6"/>
  <c r="X35" i="6" s="1"/>
  <c r="T35" i="6"/>
  <c r="C44" i="9"/>
  <c r="D44" i="9"/>
  <c r="B44" i="9"/>
  <c r="F44" i="9"/>
  <c r="E44" i="9"/>
  <c r="G38" i="9"/>
  <c r="I38" i="9" s="1"/>
  <c r="G30" i="9"/>
  <c r="I30" i="9" s="1"/>
  <c r="G37" i="9"/>
  <c r="I37" i="9" s="1"/>
  <c r="G29" i="9"/>
  <c r="I29" i="9" s="1"/>
  <c r="G36" i="9"/>
  <c r="H36" i="9" s="1"/>
  <c r="G28" i="9"/>
  <c r="H28" i="9" s="1"/>
  <c r="G35" i="9"/>
  <c r="H35" i="9" s="1"/>
  <c r="G34" i="9"/>
  <c r="H34" i="9" s="1"/>
  <c r="G33" i="9"/>
  <c r="H33" i="9" s="1"/>
  <c r="G31" i="9"/>
  <c r="I31" i="9" s="1"/>
  <c r="G32" i="9"/>
  <c r="H32" i="9" s="1"/>
  <c r="B35" i="9"/>
  <c r="B32" i="9"/>
  <c r="B36" i="9"/>
  <c r="B33" i="9"/>
  <c r="B29" i="9"/>
  <c r="B22" i="9"/>
  <c r="B37" i="9"/>
  <c r="C23" i="9"/>
  <c r="D23" i="9" s="1"/>
  <c r="B30" i="9"/>
  <c r="B38" i="9"/>
  <c r="B31" i="9"/>
  <c r="B34" i="9"/>
  <c r="B28" i="9"/>
  <c r="C56" i="8"/>
  <c r="H55" i="8"/>
  <c r="H51" i="8"/>
  <c r="H53" i="8"/>
  <c r="H52" i="8"/>
  <c r="M141" i="4"/>
  <c r="T12" i="6" l="1"/>
  <c r="Y12" i="6" s="1"/>
  <c r="Z24" i="6"/>
  <c r="Z27" i="6"/>
  <c r="T32" i="6"/>
  <c r="U32" i="6" s="1"/>
  <c r="T28" i="6"/>
  <c r="T9" i="6"/>
  <c r="V9" i="6" s="1"/>
  <c r="T26" i="6"/>
  <c r="V26" i="6" s="1"/>
  <c r="Z30" i="6"/>
  <c r="T21" i="6"/>
  <c r="U21" i="6" s="1"/>
  <c r="T33" i="6"/>
  <c r="U33" i="6" s="1"/>
  <c r="Z21" i="6"/>
  <c r="W25" i="6"/>
  <c r="X25" i="6" s="1"/>
  <c r="Z26" i="6"/>
  <c r="Z25" i="6"/>
  <c r="Z29" i="6"/>
  <c r="Z12" i="6"/>
  <c r="S34" i="6"/>
  <c r="R34" i="6"/>
  <c r="R13" i="6"/>
  <c r="S13" i="6"/>
  <c r="S33" i="6"/>
  <c r="R33" i="6"/>
  <c r="R7" i="6"/>
  <c r="S7" i="6"/>
  <c r="R14" i="6"/>
  <c r="S14" i="6"/>
  <c r="R21" i="6"/>
  <c r="S21" i="6"/>
  <c r="R29" i="6"/>
  <c r="S29" i="6"/>
  <c r="R32" i="6"/>
  <c r="S32" i="6"/>
  <c r="S20" i="6"/>
  <c r="R20" i="6"/>
  <c r="R28" i="6"/>
  <c r="S28" i="6"/>
  <c r="S18" i="6"/>
  <c r="R18" i="6"/>
  <c r="S9" i="6"/>
  <c r="R9" i="6"/>
  <c r="S22" i="6"/>
  <c r="R22" i="6"/>
  <c r="R8" i="6"/>
  <c r="S8" i="6"/>
  <c r="R25" i="6"/>
  <c r="S25" i="6"/>
  <c r="R30" i="6"/>
  <c r="S30" i="6"/>
  <c r="S12" i="6"/>
  <c r="R12" i="6"/>
  <c r="R15" i="6"/>
  <c r="S15" i="6"/>
  <c r="R26" i="6"/>
  <c r="S26" i="6"/>
  <c r="S24" i="6"/>
  <c r="R24" i="6"/>
  <c r="R35" i="6"/>
  <c r="S35" i="6"/>
  <c r="S27" i="6"/>
  <c r="R27" i="6"/>
  <c r="S37" i="6"/>
  <c r="R37" i="6"/>
  <c r="R36" i="6"/>
  <c r="S36" i="6"/>
  <c r="S19" i="6"/>
  <c r="R19" i="6"/>
  <c r="Y20" i="6"/>
  <c r="U20" i="6"/>
  <c r="V20" i="6"/>
  <c r="Y8" i="6"/>
  <c r="V8" i="6"/>
  <c r="U8" i="6"/>
  <c r="Y19" i="6"/>
  <c r="U19" i="6"/>
  <c r="V19" i="6"/>
  <c r="V13" i="6"/>
  <c r="Y13" i="6"/>
  <c r="U13" i="6"/>
  <c r="V22" i="6"/>
  <c r="U22" i="6"/>
  <c r="Y22" i="6"/>
  <c r="V29" i="6"/>
  <c r="U29" i="6"/>
  <c r="Y29" i="6"/>
  <c r="W24" i="6"/>
  <c r="X24" i="6" s="1"/>
  <c r="T24" i="6"/>
  <c r="V35" i="6"/>
  <c r="Y35" i="6"/>
  <c r="U35" i="6"/>
  <c r="W14" i="6"/>
  <c r="X14" i="6" s="1"/>
  <c r="T14" i="6"/>
  <c r="U34" i="6"/>
  <c r="Y34" i="6"/>
  <c r="V34" i="6"/>
  <c r="V37" i="6"/>
  <c r="U37" i="6"/>
  <c r="Y37" i="6"/>
  <c r="U12" i="6"/>
  <c r="V18" i="6"/>
  <c r="U18" i="6"/>
  <c r="Y18" i="6"/>
  <c r="V15" i="6"/>
  <c r="Y15" i="6"/>
  <c r="U15" i="6"/>
  <c r="V36" i="6"/>
  <c r="U36" i="6"/>
  <c r="Y36" i="6"/>
  <c r="T30" i="6"/>
  <c r="W30" i="6"/>
  <c r="X30" i="6" s="1"/>
  <c r="V27" i="6"/>
  <c r="U27" i="6"/>
  <c r="Y27" i="6"/>
  <c r="V7" i="6"/>
  <c r="Y7" i="6"/>
  <c r="U7" i="6"/>
  <c r="H56" i="8"/>
  <c r="D46" i="9"/>
  <c r="D45" i="9"/>
  <c r="D52" i="9"/>
  <c r="D54" i="9"/>
  <c r="D49" i="9"/>
  <c r="D48" i="9"/>
  <c r="D51" i="9"/>
  <c r="D47" i="9"/>
  <c r="D53" i="9"/>
  <c r="D50" i="9"/>
  <c r="F46" i="9"/>
  <c r="F47" i="9"/>
  <c r="F53" i="9"/>
  <c r="F51" i="9"/>
  <c r="F52" i="9"/>
  <c r="F50" i="9"/>
  <c r="F49" i="9"/>
  <c r="F45" i="9"/>
  <c r="F48" i="9"/>
  <c r="F54" i="9"/>
  <c r="B52" i="9"/>
  <c r="B50" i="9"/>
  <c r="B47" i="9"/>
  <c r="B45" i="9"/>
  <c r="B51" i="9"/>
  <c r="B54" i="9"/>
  <c r="B46" i="9"/>
  <c r="B49" i="9"/>
  <c r="B53" i="9"/>
  <c r="B48" i="9"/>
  <c r="C50" i="9"/>
  <c r="C51" i="9"/>
  <c r="C49" i="9"/>
  <c r="C48" i="9"/>
  <c r="C47" i="9"/>
  <c r="C54" i="9"/>
  <c r="C46" i="9"/>
  <c r="C52" i="9"/>
  <c r="C45" i="9"/>
  <c r="C53" i="9"/>
  <c r="E46" i="9"/>
  <c r="E47" i="9"/>
  <c r="E54" i="9"/>
  <c r="E50" i="9"/>
  <c r="E49" i="9"/>
  <c r="E53" i="9"/>
  <c r="E51" i="9"/>
  <c r="E52" i="9"/>
  <c r="E48" i="9"/>
  <c r="E45" i="9"/>
  <c r="D31" i="9"/>
  <c r="C31" i="9"/>
  <c r="C36" i="9"/>
  <c r="D36" i="9"/>
  <c r="D38" i="9"/>
  <c r="C38" i="9"/>
  <c r="D32" i="9"/>
  <c r="C32" i="9"/>
  <c r="D30" i="9"/>
  <c r="C30" i="9"/>
  <c r="C35" i="9"/>
  <c r="D35" i="9"/>
  <c r="C37" i="9"/>
  <c r="D37" i="9"/>
  <c r="C29" i="9"/>
  <c r="D29" i="9"/>
  <c r="D28" i="9"/>
  <c r="C28" i="9"/>
  <c r="D34" i="9"/>
  <c r="C34" i="9"/>
  <c r="D33" i="9"/>
  <c r="C33" i="9"/>
  <c r="B129" i="4"/>
  <c r="C124" i="4" s="1"/>
  <c r="F124" i="4" s="1"/>
  <c r="G128" i="4"/>
  <c r="G126" i="4"/>
  <c r="C126" i="4"/>
  <c r="F126" i="4" s="1"/>
  <c r="G125" i="4"/>
  <c r="G124" i="4"/>
  <c r="I124" i="4" s="1"/>
  <c r="G123" i="4"/>
  <c r="L123" i="4" s="1"/>
  <c r="C123" i="4"/>
  <c r="F123" i="4" s="1"/>
  <c r="I123" i="4" s="1"/>
  <c r="D105" i="4"/>
  <c r="G105" i="4" s="1"/>
  <c r="B105" i="4"/>
  <c r="D104" i="4"/>
  <c r="G104" i="4" s="1"/>
  <c r="B104" i="4"/>
  <c r="D103" i="4"/>
  <c r="G103" i="4" s="1"/>
  <c r="B103" i="4"/>
  <c r="D102" i="4"/>
  <c r="G102" i="4" s="1"/>
  <c r="B102" i="4"/>
  <c r="D101" i="4"/>
  <c r="G101" i="4" s="1"/>
  <c r="B101" i="4"/>
  <c r="D100" i="4"/>
  <c r="G100" i="4" s="1"/>
  <c r="B100" i="4"/>
  <c r="D99" i="4"/>
  <c r="G99" i="4" s="1"/>
  <c r="B99" i="4"/>
  <c r="D98" i="4"/>
  <c r="G98" i="4" s="1"/>
  <c r="B98" i="4"/>
  <c r="D97" i="4"/>
  <c r="G97" i="4" s="1"/>
  <c r="B97" i="4"/>
  <c r="D96" i="4"/>
  <c r="G96" i="4" s="1"/>
  <c r="B96" i="4"/>
  <c r="D95" i="4"/>
  <c r="G95" i="4" s="1"/>
  <c r="B95" i="4"/>
  <c r="D94" i="4"/>
  <c r="G94" i="4" s="1"/>
  <c r="B94" i="4"/>
  <c r="D93" i="4"/>
  <c r="B93" i="4"/>
  <c r="D92" i="4"/>
  <c r="B92" i="4"/>
  <c r="D91" i="4"/>
  <c r="G91" i="4" s="1"/>
  <c r="B91" i="4"/>
  <c r="D90" i="4"/>
  <c r="G90" i="4" s="1"/>
  <c r="B90" i="4"/>
  <c r="D89" i="4"/>
  <c r="G89" i="4" s="1"/>
  <c r="B89" i="4"/>
  <c r="D88" i="4"/>
  <c r="G88" i="4" s="1"/>
  <c r="B88" i="4"/>
  <c r="D87" i="4"/>
  <c r="G87" i="4" s="1"/>
  <c r="B87" i="4"/>
  <c r="D86" i="4"/>
  <c r="G86" i="4" s="1"/>
  <c r="B86" i="4"/>
  <c r="D85" i="4"/>
  <c r="B85" i="4"/>
  <c r="D84" i="4"/>
  <c r="G84" i="4" s="1"/>
  <c r="B84" i="4"/>
  <c r="D83" i="4"/>
  <c r="B83" i="4"/>
  <c r="D82" i="4"/>
  <c r="G82" i="4" s="1"/>
  <c r="B82" i="4"/>
  <c r="C67" i="4"/>
  <c r="D67" i="4" s="1"/>
  <c r="B67" i="4"/>
  <c r="C66" i="4"/>
  <c r="D66" i="4" s="1"/>
  <c r="G66" i="4" s="1"/>
  <c r="B66" i="4"/>
  <c r="C65" i="4"/>
  <c r="D65" i="4" s="1"/>
  <c r="G65" i="4" s="1"/>
  <c r="B65" i="4"/>
  <c r="C64" i="4"/>
  <c r="D64" i="4" s="1"/>
  <c r="G64" i="4" s="1"/>
  <c r="B64" i="4"/>
  <c r="C63" i="4"/>
  <c r="D63" i="4" s="1"/>
  <c r="G63" i="4" s="1"/>
  <c r="B63" i="4"/>
  <c r="C62" i="4"/>
  <c r="D62" i="4" s="1"/>
  <c r="B62" i="4"/>
  <c r="C61" i="4"/>
  <c r="D61" i="4" s="1"/>
  <c r="B61" i="4"/>
  <c r="C60" i="4"/>
  <c r="D60" i="4" s="1"/>
  <c r="B60" i="4"/>
  <c r="C59" i="4"/>
  <c r="D59" i="4" s="1"/>
  <c r="B59" i="4"/>
  <c r="C58" i="4"/>
  <c r="D58" i="4" s="1"/>
  <c r="G58" i="4" s="1"/>
  <c r="B58" i="4"/>
  <c r="C57" i="4"/>
  <c r="D57" i="4" s="1"/>
  <c r="G57" i="4" s="1"/>
  <c r="B57" i="4"/>
  <c r="C56" i="4"/>
  <c r="D56" i="4" s="1"/>
  <c r="B56" i="4"/>
  <c r="C55" i="4"/>
  <c r="D55" i="4" s="1"/>
  <c r="G55" i="4" s="1"/>
  <c r="B55" i="4"/>
  <c r="C54" i="4"/>
  <c r="D54" i="4" s="1"/>
  <c r="B54" i="4"/>
  <c r="C53" i="4"/>
  <c r="D53" i="4" s="1"/>
  <c r="B53" i="4"/>
  <c r="C52" i="4"/>
  <c r="D52" i="4" s="1"/>
  <c r="G52" i="4" s="1"/>
  <c r="B52" i="4"/>
  <c r="C51" i="4"/>
  <c r="D51" i="4" s="1"/>
  <c r="G51" i="4" s="1"/>
  <c r="B51" i="4"/>
  <c r="C50" i="4"/>
  <c r="D50" i="4" s="1"/>
  <c r="G50" i="4" s="1"/>
  <c r="B50" i="4"/>
  <c r="C49" i="4"/>
  <c r="D49" i="4" s="1"/>
  <c r="G49" i="4" s="1"/>
  <c r="B49" i="4"/>
  <c r="C48" i="4"/>
  <c r="D48" i="4" s="1"/>
  <c r="G48" i="4" s="1"/>
  <c r="B48" i="4"/>
  <c r="C47" i="4"/>
  <c r="D47" i="4" s="1"/>
  <c r="B47" i="4"/>
  <c r="C46" i="4"/>
  <c r="D46" i="4" s="1"/>
  <c r="G46" i="4" s="1"/>
  <c r="B46" i="4"/>
  <c r="C45" i="4"/>
  <c r="D45" i="4" s="1"/>
  <c r="B45" i="4"/>
  <c r="C44" i="4"/>
  <c r="D44" i="4" s="1"/>
  <c r="B44" i="4"/>
  <c r="D28" i="4"/>
  <c r="D27" i="4"/>
  <c r="G27" i="4" s="1"/>
  <c r="D26" i="4"/>
  <c r="G26" i="4" s="1"/>
  <c r="D25" i="4"/>
  <c r="G25" i="4" s="1"/>
  <c r="D24" i="4"/>
  <c r="G24" i="4" s="1"/>
  <c r="D23" i="4"/>
  <c r="G23" i="4" s="1"/>
  <c r="D22" i="4"/>
  <c r="G22" i="4" s="1"/>
  <c r="D21" i="4"/>
  <c r="G21" i="4" s="1"/>
  <c r="D20" i="4"/>
  <c r="G20" i="4" s="1"/>
  <c r="D19" i="4"/>
  <c r="D18" i="4"/>
  <c r="G18" i="4" s="1"/>
  <c r="D17" i="4"/>
  <c r="G17" i="4" s="1"/>
  <c r="D16" i="4"/>
  <c r="D15" i="4"/>
  <c r="G15" i="4" s="1"/>
  <c r="D14" i="4"/>
  <c r="G14" i="4" s="1"/>
  <c r="D13" i="4"/>
  <c r="G13" i="4" s="1"/>
  <c r="D12" i="4"/>
  <c r="G12" i="4" s="1"/>
  <c r="D11" i="4"/>
  <c r="G11" i="4" s="1"/>
  <c r="A11" i="4"/>
  <c r="J11" i="4" s="1"/>
  <c r="V12" i="6" l="1"/>
  <c r="Y9" i="6"/>
  <c r="U9" i="6"/>
  <c r="Y21" i="6"/>
  <c r="Y33" i="6"/>
  <c r="V21" i="6"/>
  <c r="V32" i="6"/>
  <c r="Y32" i="6"/>
  <c r="W28" i="6"/>
  <c r="X28" i="6" s="1"/>
  <c r="T25" i="6"/>
  <c r="V25" i="6" s="1"/>
  <c r="U26" i="6"/>
  <c r="Y26" i="6"/>
  <c r="V33" i="6"/>
  <c r="V30" i="6"/>
  <c r="Y30" i="6"/>
  <c r="U30" i="6"/>
  <c r="V28" i="6"/>
  <c r="U28" i="6"/>
  <c r="Y28" i="6"/>
  <c r="V14" i="6"/>
  <c r="U14" i="6"/>
  <c r="Y14" i="6"/>
  <c r="V24" i="6"/>
  <c r="Y24" i="6"/>
  <c r="U24" i="6"/>
  <c r="K123" i="4"/>
  <c r="M123" i="4"/>
  <c r="I126" i="4"/>
  <c r="C128" i="4"/>
  <c r="I128" i="4" s="1"/>
  <c r="H99" i="4"/>
  <c r="B68" i="4"/>
  <c r="E126" i="4"/>
  <c r="H48" i="4"/>
  <c r="H94" i="4"/>
  <c r="E104" i="4"/>
  <c r="H64" i="4"/>
  <c r="H100" i="4"/>
  <c r="I105" i="4"/>
  <c r="E93" i="4"/>
  <c r="I95" i="4"/>
  <c r="H88" i="4"/>
  <c r="E47" i="4"/>
  <c r="H63" i="4"/>
  <c r="F56" i="4"/>
  <c r="I90" i="4"/>
  <c r="E61" i="4"/>
  <c r="H65" i="4"/>
  <c r="F82" i="4"/>
  <c r="E82" i="4"/>
  <c r="H103" i="4"/>
  <c r="E95" i="4"/>
  <c r="F99" i="4"/>
  <c r="F89" i="4"/>
  <c r="F92" i="4"/>
  <c r="I96" i="4"/>
  <c r="H66" i="4"/>
  <c r="E89" i="4"/>
  <c r="I100" i="4"/>
  <c r="E84" i="4"/>
  <c r="I94" i="4"/>
  <c r="I98" i="4"/>
  <c r="I86" i="4"/>
  <c r="H86" i="4"/>
  <c r="G93" i="4"/>
  <c r="H93" i="4" s="1"/>
  <c r="E98" i="4"/>
  <c r="E102" i="4"/>
  <c r="H57" i="4"/>
  <c r="F84" i="4"/>
  <c r="F98" i="4"/>
  <c r="F102" i="4"/>
  <c r="H50" i="4"/>
  <c r="E85" i="4"/>
  <c r="H89" i="4"/>
  <c r="F94" i="4"/>
  <c r="H104" i="4"/>
  <c r="H58" i="4"/>
  <c r="B106" i="4"/>
  <c r="E92" i="4"/>
  <c r="E94" i="4"/>
  <c r="H55" i="4"/>
  <c r="E83" i="4"/>
  <c r="G85" i="4"/>
  <c r="H85" i="4" s="1"/>
  <c r="G92" i="4"/>
  <c r="I92" i="4" s="1"/>
  <c r="H101" i="4"/>
  <c r="H105" i="4"/>
  <c r="H84" i="4"/>
  <c r="H46" i="4"/>
  <c r="H126" i="4"/>
  <c r="G83" i="4"/>
  <c r="H83" i="4" s="1"/>
  <c r="A12" i="4"/>
  <c r="J12" i="4" s="1"/>
  <c r="E54" i="4"/>
  <c r="G54" i="4"/>
  <c r="H54" i="4" s="1"/>
  <c r="G67" i="4"/>
  <c r="I67" i="4" s="1"/>
  <c r="E67" i="4"/>
  <c r="E62" i="4"/>
  <c r="G62" i="4"/>
  <c r="H62" i="4" s="1"/>
  <c r="F62" i="4"/>
  <c r="G44" i="4"/>
  <c r="H44" i="4" s="1"/>
  <c r="F44" i="4"/>
  <c r="E44" i="4"/>
  <c r="G16" i="4"/>
  <c r="F61" i="4"/>
  <c r="G61" i="4"/>
  <c r="H61" i="4" s="1"/>
  <c r="G56" i="4"/>
  <c r="H56" i="4" s="1"/>
  <c r="F48" i="4"/>
  <c r="G60" i="4"/>
  <c r="I60" i="4" s="1"/>
  <c r="E60" i="4"/>
  <c r="G45" i="4"/>
  <c r="H45" i="4" s="1"/>
  <c r="F45" i="4"/>
  <c r="E45" i="4"/>
  <c r="F53" i="4"/>
  <c r="G53" i="4"/>
  <c r="H53" i="4" s="1"/>
  <c r="E53" i="4"/>
  <c r="G59" i="4"/>
  <c r="I59" i="4" s="1"/>
  <c r="E59" i="4"/>
  <c r="F60" i="4"/>
  <c r="H123" i="4"/>
  <c r="E52" i="4"/>
  <c r="F64" i="4"/>
  <c r="E97" i="4"/>
  <c r="E123" i="4"/>
  <c r="F47" i="4"/>
  <c r="I49" i="4"/>
  <c r="F49" i="4"/>
  <c r="E49" i="4"/>
  <c r="I51" i="4"/>
  <c r="H51" i="4"/>
  <c r="F51" i="4"/>
  <c r="F52" i="4"/>
  <c r="E55" i="4"/>
  <c r="F87" i="4"/>
  <c r="I91" i="4"/>
  <c r="H91" i="4"/>
  <c r="F91" i="4"/>
  <c r="H95" i="4"/>
  <c r="F97" i="4"/>
  <c r="G19" i="4"/>
  <c r="E46" i="4"/>
  <c r="G47" i="4"/>
  <c r="H47" i="4" s="1"/>
  <c r="F55" i="4"/>
  <c r="I57" i="4"/>
  <c r="F57" i="4"/>
  <c r="E57" i="4"/>
  <c r="F59" i="4"/>
  <c r="E63" i="4"/>
  <c r="F86" i="4"/>
  <c r="E86" i="4"/>
  <c r="F88" i="4"/>
  <c r="I88" i="4"/>
  <c r="E103" i="4"/>
  <c r="I103" i="4"/>
  <c r="F46" i="4"/>
  <c r="F63" i="4"/>
  <c r="I65" i="4"/>
  <c r="F65" i="4"/>
  <c r="E65" i="4"/>
  <c r="F67" i="4"/>
  <c r="E91" i="4"/>
  <c r="F96" i="4"/>
  <c r="H96" i="4"/>
  <c r="E96" i="4"/>
  <c r="E101" i="4"/>
  <c r="F85" i="4"/>
  <c r="F101" i="4"/>
  <c r="I48" i="4"/>
  <c r="E48" i="4"/>
  <c r="H49" i="4"/>
  <c r="E51" i="4"/>
  <c r="F54" i="4"/>
  <c r="F83" i="4"/>
  <c r="I84" i="4"/>
  <c r="E88" i="4"/>
  <c r="I89" i="4"/>
  <c r="F93" i="4"/>
  <c r="I101" i="4"/>
  <c r="F103" i="4"/>
  <c r="I104" i="4"/>
  <c r="G28" i="4"/>
  <c r="I50" i="4"/>
  <c r="F50" i="4"/>
  <c r="E50" i="4"/>
  <c r="I52" i="4"/>
  <c r="H52" i="4"/>
  <c r="E56" i="4"/>
  <c r="H82" i="4"/>
  <c r="I82" i="4"/>
  <c r="H90" i="4"/>
  <c r="F90" i="4"/>
  <c r="E90" i="4"/>
  <c r="F100" i="4"/>
  <c r="E100" i="4"/>
  <c r="I102" i="4"/>
  <c r="H102" i="4"/>
  <c r="F105" i="4"/>
  <c r="E105" i="4"/>
  <c r="E124" i="4"/>
  <c r="H124" i="4"/>
  <c r="H128" i="4"/>
  <c r="I66" i="4"/>
  <c r="F66" i="4"/>
  <c r="E66" i="4"/>
  <c r="E87" i="4"/>
  <c r="I87" i="4"/>
  <c r="H87" i="4"/>
  <c r="I58" i="4"/>
  <c r="F58" i="4"/>
  <c r="E58" i="4"/>
  <c r="I64" i="4"/>
  <c r="E64" i="4"/>
  <c r="I97" i="4"/>
  <c r="H97" i="4"/>
  <c r="I55" i="4"/>
  <c r="I63" i="4"/>
  <c r="I99" i="4"/>
  <c r="I46" i="4"/>
  <c r="F104" i="4"/>
  <c r="F95" i="4"/>
  <c r="H98" i="4"/>
  <c r="E99" i="4"/>
  <c r="C127" i="4"/>
  <c r="C125" i="4"/>
  <c r="F125" i="4" s="1"/>
  <c r="Y25" i="6" l="1"/>
  <c r="U25" i="6"/>
  <c r="F127" i="4"/>
  <c r="I127" i="4" s="1"/>
  <c r="E128" i="4"/>
  <c r="F128" i="4"/>
  <c r="I125" i="4"/>
  <c r="H92" i="4"/>
  <c r="H106" i="4" s="1"/>
  <c r="I54" i="4"/>
  <c r="I93" i="4"/>
  <c r="H59" i="4"/>
  <c r="A13" i="4"/>
  <c r="A14" i="4" s="1"/>
  <c r="J14" i="4" s="1"/>
  <c r="I85" i="4"/>
  <c r="I62" i="4"/>
  <c r="H67" i="4"/>
  <c r="I83" i="4"/>
  <c r="I44" i="4"/>
  <c r="F106" i="4"/>
  <c r="F107" i="4" s="1"/>
  <c r="I56" i="4"/>
  <c r="F68" i="4"/>
  <c r="F69" i="4" s="1"/>
  <c r="I61" i="4"/>
  <c r="E106" i="4"/>
  <c r="E68" i="4"/>
  <c r="H60" i="4"/>
  <c r="I53" i="4"/>
  <c r="E125" i="4"/>
  <c r="H125" i="4"/>
  <c r="I45" i="4"/>
  <c r="E127" i="4"/>
  <c r="H127" i="4"/>
  <c r="I47" i="4"/>
  <c r="C129" i="4"/>
  <c r="E129" i="4" l="1"/>
  <c r="B109" i="4"/>
  <c r="H109" i="4"/>
  <c r="H71" i="4"/>
  <c r="A15" i="4"/>
  <c r="A16" i="4" s="1"/>
  <c r="A17" i="4" s="1"/>
  <c r="J13" i="4"/>
  <c r="I106" i="4"/>
  <c r="H68" i="4"/>
  <c r="B71" i="4" s="1"/>
  <c r="F129" i="4"/>
  <c r="F130" i="4" s="1"/>
  <c r="I129" i="4"/>
  <c r="H129" i="4"/>
  <c r="I68" i="4"/>
  <c r="B132" i="4" l="1"/>
  <c r="I130" i="4"/>
  <c r="B134" i="4" s="1"/>
  <c r="B133" i="4"/>
  <c r="H132" i="4"/>
  <c r="I107" i="4"/>
  <c r="B110" i="4"/>
  <c r="H111" i="4" s="1"/>
  <c r="J15" i="4"/>
  <c r="I69" i="4"/>
  <c r="B73" i="4" s="1"/>
  <c r="B72" i="4"/>
  <c r="H73" i="4" s="1"/>
  <c r="J16" i="4"/>
  <c r="A18" i="4"/>
  <c r="J17" i="4"/>
  <c r="H134" i="4" l="1"/>
  <c r="M134" i="4" s="1"/>
  <c r="H133" i="4"/>
  <c r="M132" i="4" s="1"/>
  <c r="H135" i="4"/>
  <c r="M111" i="4"/>
  <c r="B111" i="4"/>
  <c r="M73" i="4"/>
  <c r="H72" i="4"/>
  <c r="M71" i="4" s="1"/>
  <c r="H74" i="4"/>
  <c r="A19" i="4"/>
  <c r="J18" i="4"/>
  <c r="M133" i="4" l="1"/>
  <c r="H110" i="4"/>
  <c r="H112" i="4"/>
  <c r="M72" i="4"/>
  <c r="J19" i="4"/>
  <c r="A20" i="4"/>
  <c r="M109" i="4" l="1"/>
  <c r="M110" i="4"/>
  <c r="A21" i="4"/>
  <c r="J20" i="4"/>
  <c r="J21" i="4" l="1"/>
  <c r="A22" i="4"/>
  <c r="A23" i="4" l="1"/>
  <c r="J22" i="4"/>
  <c r="A24" i="4" l="1"/>
  <c r="J23" i="4"/>
  <c r="J24" i="4" l="1"/>
  <c r="A25" i="4"/>
  <c r="A26" i="4" l="1"/>
  <c r="J25" i="4"/>
  <c r="A27" i="4" l="1"/>
  <c r="J26" i="4"/>
  <c r="J27" i="4" l="1"/>
  <c r="A28" i="4"/>
  <c r="J28" i="4" s="1"/>
  <c r="J29" i="4" l="1"/>
  <c r="B27" i="4" s="1"/>
  <c r="F27" i="4" l="1"/>
  <c r="I27" i="4"/>
  <c r="H27" i="4"/>
  <c r="E27" i="4"/>
  <c r="B11" i="4"/>
  <c r="B12" i="4"/>
  <c r="B14" i="4"/>
  <c r="B13" i="4"/>
  <c r="B15" i="4"/>
  <c r="B16" i="4"/>
  <c r="B17" i="4"/>
  <c r="B18" i="4"/>
  <c r="B19" i="4"/>
  <c r="B20" i="4"/>
  <c r="B21" i="4"/>
  <c r="B22" i="4"/>
  <c r="B23" i="4"/>
  <c r="B24" i="4"/>
  <c r="B25" i="4"/>
  <c r="B26" i="4"/>
  <c r="B28" i="4"/>
  <c r="F22" i="4" l="1"/>
  <c r="I22" i="4"/>
  <c r="H22" i="4"/>
  <c r="E22" i="4"/>
  <c r="H13" i="4"/>
  <c r="F13" i="4"/>
  <c r="I13" i="4"/>
  <c r="E13" i="4"/>
  <c r="H21" i="4"/>
  <c r="I21" i="4"/>
  <c r="F21" i="4"/>
  <c r="E21" i="4"/>
  <c r="I14" i="4"/>
  <c r="H14" i="4"/>
  <c r="F14" i="4"/>
  <c r="E14" i="4"/>
  <c r="F20" i="4"/>
  <c r="I20" i="4"/>
  <c r="H20" i="4"/>
  <c r="E20" i="4"/>
  <c r="I12" i="4"/>
  <c r="F12" i="4"/>
  <c r="H12" i="4"/>
  <c r="E12" i="4"/>
  <c r="I28" i="4"/>
  <c r="H28" i="4"/>
  <c r="F28" i="4"/>
  <c r="E28" i="4"/>
  <c r="I19" i="4"/>
  <c r="H19" i="4"/>
  <c r="F19" i="4"/>
  <c r="E19" i="4"/>
  <c r="I26" i="4"/>
  <c r="H26" i="4"/>
  <c r="F26" i="4"/>
  <c r="E26" i="4"/>
  <c r="E18" i="4"/>
  <c r="H18" i="4"/>
  <c r="F18" i="4"/>
  <c r="I18" i="4"/>
  <c r="F25" i="4"/>
  <c r="E25" i="4"/>
  <c r="I25" i="4"/>
  <c r="H25" i="4"/>
  <c r="H17" i="4"/>
  <c r="F17" i="4"/>
  <c r="E17" i="4"/>
  <c r="I17" i="4"/>
  <c r="I24" i="4"/>
  <c r="H24" i="4"/>
  <c r="F24" i="4"/>
  <c r="E24" i="4"/>
  <c r="B29" i="4"/>
  <c r="I11" i="4"/>
  <c r="H11" i="4"/>
  <c r="F11" i="4"/>
  <c r="E11" i="4"/>
  <c r="I16" i="4"/>
  <c r="H16" i="4"/>
  <c r="F16" i="4"/>
  <c r="E16" i="4"/>
  <c r="F23" i="4"/>
  <c r="I23" i="4"/>
  <c r="H23" i="4"/>
  <c r="E23" i="4"/>
  <c r="F15" i="4"/>
  <c r="H15" i="4"/>
  <c r="I15" i="4"/>
  <c r="E15" i="4"/>
  <c r="F29" i="4" l="1"/>
  <c r="F30" i="4" s="1"/>
  <c r="H29" i="4"/>
  <c r="E29" i="4"/>
  <c r="I29" i="4"/>
  <c r="H32" i="4" l="1"/>
  <c r="I30" i="4"/>
  <c r="B34" i="4" s="1"/>
  <c r="B33" i="4"/>
  <c r="B32" i="4"/>
  <c r="H35" i="4" l="1"/>
  <c r="H140" i="4" s="1"/>
  <c r="H34" i="4"/>
  <c r="H33" i="4"/>
  <c r="M32" i="4" s="1"/>
  <c r="M34" i="4" l="1"/>
  <c r="M33" i="4"/>
  <c r="M139" i="4" l="1"/>
  <c r="H139" i="4" s="1"/>
  <c r="H141" i="4" s="1"/>
  <c r="M140" i="4"/>
</calcChain>
</file>

<file path=xl/comments1.xml><?xml version="1.0" encoding="utf-8"?>
<comments xmlns="http://schemas.openxmlformats.org/spreadsheetml/2006/main">
  <authors>
    <author>David Evans</author>
  </authors>
  <commentList>
    <comment ref="B35" authorId="0">
      <text>
        <r>
          <rPr>
            <sz val="9"/>
            <color indexed="81"/>
            <rFont val="Tahoma"/>
            <family val="2"/>
          </rPr>
          <t>KT97 (Table 2) gives the clear-sky OLR as 265 W/m2.</t>
        </r>
      </text>
    </comment>
    <comment ref="C50" authorId="0">
      <text>
        <r>
          <rPr>
            <sz val="9"/>
            <color indexed="81"/>
            <rFont val="Tahoma"/>
            <family val="2"/>
          </rPr>
          <t>The bottom of the “bite” in the Nimbus clear sky emission spectra (Figure 3) from 14.4 to 15.8 μm is at ~215 K, consistent with emissions from the lower stratosphere. However the emissions from the “wings” of the bite come from lower in the atmosphere, down to near the surface at 13 μm and 18 μm. 
The average temperature formed by weighting the temperature at each frequency by the radiance of emission in the tropical Pacific Ocean Nim-bus spectrum (surface temperature ~295 K) is approximately 244 K.
This temperature/height is not used here; it is included for completeness.</t>
        </r>
      </text>
    </comment>
    <comment ref="D52" authorId="0">
      <text>
        <r>
          <rPr>
            <sz val="9"/>
            <color indexed="81"/>
            <rFont val="Tahoma"/>
            <family val="2"/>
          </rPr>
          <t>From the study in [Davies &amp; Molloy, 2012], by private corre-spondence with Roger Davies (who points out that the value is uncertain and depends on measurement technique, such as whether very thin clouds are included).</t>
        </r>
      </text>
    </comment>
    <comment ref="C53" authorId="0">
      <text>
        <r>
          <rPr>
            <sz val="9"/>
            <color indexed="81"/>
            <rFont val="Tahoma"/>
            <family val="2"/>
          </rPr>
          <t>The WVEL temperature is from the tropical Pacific Ocean Nimbus clear sky emission spectra 18 –25 μm. 
The jagged nature of this part of the spectrum suggests it is due to a mix of surface and water narrow emission bands, and the temperature is presumably an average of surface and WVEL temperature in unknown proportions due to limited in-strumental resolution in frequency. 
The spectrum cools as wavelength increases, and a MODTRAN simulated emission spectra [Barrett &amp; Bellamy] drops down to 220 K by 67 μm. 
We conclude that the WVEL temperature is more than 220 K but less than 260 K. The average WVEL temperature is guessed as 236 K, if only because that is the minimum temperature in the Nimbus spectra over 18 μm (at the spike down around 24 μm).</t>
        </r>
      </text>
    </comment>
    <comment ref="C55" authorId="0">
      <text>
        <r>
          <rPr>
            <sz val="9"/>
            <color indexed="81"/>
            <rFont val="Tahoma"/>
            <family val="2"/>
          </rPr>
          <t>From the tropical Pacific Ocean Nimbus clear sky emission spectra 7.5–8.0 μm.</t>
        </r>
      </text>
    </comment>
    <comment ref="G56" authorId="0">
      <text>
        <r>
          <rPr>
            <sz val="9"/>
            <color indexed="81"/>
            <rFont val="Tahoma"/>
            <family val="2"/>
          </rPr>
          <t>[Trenberth, Fasullo, &amp; Kiehl, 2009] give the all-sky OLR to 239 W/m2.</t>
        </r>
      </text>
    </comment>
    <comment ref="C91" authorId="0">
      <text>
        <r>
          <rPr>
            <sz val="9"/>
            <color indexed="81"/>
            <rFont val="Tahoma"/>
            <family val="2"/>
          </rPr>
          <t>Choose either gcUniform (conventional) or gcPartial (better reflects emprical observations).</t>
        </r>
      </text>
    </comment>
  </commentList>
</comments>
</file>

<file path=xl/comments2.xml><?xml version="1.0" encoding="utf-8"?>
<comments xmlns="http://schemas.openxmlformats.org/spreadsheetml/2006/main">
  <authors>
    <author>David Evans</author>
  </authors>
  <commentList>
    <comment ref="C4" authorId="0">
      <text>
        <r>
          <rPr>
            <sz val="9"/>
            <color indexed="81"/>
            <rFont val="Tahoma"/>
            <family val="2"/>
          </rPr>
          <t>Chosen so the average emission temperature is 255 K (temperatures change uniformly in the troposphere, so the change in this temperature is equal to the change in the surface temperatrue).</t>
        </r>
      </text>
    </comment>
    <comment ref="B5" authorId="0">
      <text>
        <r>
          <rPr>
            <sz val="9"/>
            <color indexed="81"/>
            <rFont val="Tahoma"/>
            <family val="2"/>
          </rPr>
          <t xml:space="preserve">Set to 1, because ultimately we only care about ratios of areas here.
</t>
        </r>
      </text>
    </comment>
    <comment ref="B38" authorId="0">
      <text>
        <r>
          <rPr>
            <sz val="9"/>
            <color indexed="81"/>
            <rFont val="Tahoma"/>
            <family val="2"/>
          </rPr>
          <t>Assumes temperature min at 6am, max at 4 pm, linear variation in between.
Choose temperature of average EL, so averages 255 K during year.</t>
        </r>
      </text>
    </comment>
    <comment ref="C117" authorId="0">
      <text>
        <r>
          <rPr>
            <sz val="9"/>
            <color indexed="81"/>
            <rFont val="Tahoma"/>
            <family val="2"/>
          </rPr>
          <t>For exploring how much of difference in sensitivties is due to the non-Stefan-Boltzmann nature of the CO2EL (set to 0), and how much merely to the difference in temperatures of the six main emission layers (set to 1).
Also applies to ozone.</t>
        </r>
      </text>
    </comment>
    <comment ref="D123" authorId="0">
      <text>
        <r>
          <rPr>
            <sz val="9"/>
            <color indexed="81"/>
            <rFont val="Tahoma"/>
            <family val="2"/>
          </rPr>
          <t>This is the average temperature of the wings of the "bite" at 15 μm (formed by weighting the temperature at each frequency by the radiance of emission in the tropical Pacific Ocean Nimbus spectrum).
The bottom of the “bite”, from 14.4 to 15.8 μm, is at ~215 K, consistent with the lower stratosphere. This does not change with an incremented surface temperature.</t>
        </r>
      </text>
    </comment>
    <comment ref="G123" authorId="0">
      <text>
        <r>
          <rPr>
            <sz val="9"/>
            <color indexed="81"/>
            <rFont val="Tahoma"/>
            <family val="2"/>
          </rPr>
          <t>Bottom of the bite is in the stratosphere, where temperatures do not change. The significant action is in the wings, which are in the troposphere.</t>
        </r>
      </text>
    </comment>
    <comment ref="I123" authorId="0">
      <text>
        <r>
          <rPr>
            <sz val="9"/>
            <color indexed="81"/>
            <rFont val="Tahoma"/>
            <family val="2"/>
          </rPr>
          <t xml:space="preserve">Must use the proper CO2 shape in the emissions spectrum (from the OLR model), not treat it as a Stefan-Boltzmann emitter (which is quite wrong).
</t>
        </r>
      </text>
    </comment>
    <comment ref="D127" authorId="0">
      <text>
        <r>
          <rPr>
            <sz val="9"/>
            <color indexed="81"/>
            <rFont val="Tahoma"/>
            <family val="2"/>
          </rPr>
          <t>In the stratosphere, where the temperature increases with height.</t>
        </r>
      </text>
    </comment>
    <comment ref="I127" authorId="0">
      <text>
        <r>
          <rPr>
            <sz val="9"/>
            <color indexed="81"/>
            <rFont val="Tahoma"/>
            <family val="2"/>
          </rPr>
          <t>Leave ozone OLR from ozone  unchanged because the EL is mainly in the stratosphere and unaffected by incrementing tropopsheric temperatures.</t>
        </r>
      </text>
    </comment>
  </commentList>
</comments>
</file>

<file path=xl/comments3.xml><?xml version="1.0" encoding="utf-8"?>
<comments xmlns="http://schemas.openxmlformats.org/spreadsheetml/2006/main">
  <authors>
    <author>David Evans</author>
  </authors>
  <commentList>
    <comment ref="C4" authorId="0">
      <text>
        <r>
          <rPr>
            <sz val="9"/>
            <color indexed="81"/>
            <rFont val="Tahoma"/>
            <family val="2"/>
          </rPr>
          <t>D</t>
        </r>
        <r>
          <rPr>
            <vertAlign val="subscript"/>
            <sz val="9"/>
            <color indexed="81"/>
            <rFont val="Tahoma"/>
            <family val="2"/>
          </rPr>
          <t>R,2X</t>
        </r>
        <r>
          <rPr>
            <sz val="9"/>
            <color indexed="81"/>
            <rFont val="Tahoma"/>
            <family val="2"/>
          </rPr>
          <t xml:space="preserve"> = 3.7 [4.1, 3.5] W/m2,
the OLR blocked by a doubling of CO2, all else constant. 
From AR3 p. 356 (referred to by AR5 p. 8SM-7).</t>
        </r>
      </text>
    </comment>
    <comment ref="C6" authorId="0">
      <text>
        <r>
          <rPr>
            <sz val="9"/>
            <color indexed="81"/>
            <rFont val="Tahoma"/>
            <family val="2"/>
          </rPr>
          <t>M = 2.0 [1.5, 2.7], 
calculated in paper from parameters in AR5</t>
        </r>
      </text>
    </comment>
    <comment ref="C7" authorId="0">
      <text>
        <r>
          <rPr>
            <sz val="9"/>
            <color indexed="81"/>
            <rFont val="Tahoma"/>
            <family val="2"/>
          </rPr>
          <t>fα = 0.4 [-0.1, 0.9] W/m2 per K, 
calculated in paper from parameters in AR5</t>
        </r>
      </text>
    </comment>
    <comment ref="C8" authorId="0">
      <text>
        <r>
          <rPr>
            <sz val="9"/>
            <color indexed="81"/>
            <rFont val="Tahoma"/>
            <family val="2"/>
          </rPr>
          <t>fLR = -0.6 [-1.0, -0.2] W/m2 per K, 
from AR5, see supplmentary</t>
        </r>
      </text>
    </comment>
    <comment ref="C11" authorId="0">
      <text>
        <r>
          <rPr>
            <sz val="9"/>
            <color indexed="81"/>
            <rFont val="Tahoma"/>
            <family val="2"/>
          </rPr>
          <t>Safely much less than unity.
The model would give very large swings in surface temperature if the loop gain approached unity.</t>
        </r>
      </text>
    </comment>
  </commentList>
</comments>
</file>

<file path=xl/comments4.xml><?xml version="1.0" encoding="utf-8"?>
<comments xmlns="http://schemas.openxmlformats.org/spreadsheetml/2006/main">
  <authors>
    <author>David Evans</author>
  </authors>
  <commentList>
    <comment ref="D5" authorId="0">
      <text>
        <r>
          <rPr>
            <sz val="9"/>
            <color indexed="81"/>
            <rFont val="Tahoma"/>
            <family val="2"/>
          </rPr>
          <t>Midpoint of HadCrut4 5-year smoothed and UAH 6-month smoothed (just HadCrut4 in the pre satellite era, offset so smoothly joins up with the satellite data), for June of year.</t>
        </r>
      </text>
    </comment>
    <comment ref="G5" authorId="0">
      <text>
        <r>
          <rPr>
            <sz val="9"/>
            <color indexed="81"/>
            <rFont val="Tahoma"/>
            <family val="2"/>
          </rPr>
          <t>Law Dome prior to 1959,
Mauna Loa from 1959</t>
        </r>
      </text>
    </comment>
    <comment ref="K5" authorId="0">
      <text>
        <r>
          <rPr>
            <sz val="9"/>
            <color indexed="81"/>
            <rFont val="Tahoma"/>
            <family val="2"/>
          </rPr>
          <t xml:space="preserve">Enter interesting values, to see what happens…
Keep </t>
        </r>
        <r>
          <rPr>
            <i/>
            <sz val="9"/>
            <color indexed="81"/>
            <rFont val="Tahoma"/>
            <family val="2"/>
          </rPr>
          <t>μ</t>
        </r>
        <r>
          <rPr>
            <sz val="9"/>
            <color indexed="81"/>
            <rFont val="Tahoma"/>
            <family val="2"/>
          </rPr>
          <t xml:space="preserve"> and the ECS in legal ranges.</t>
        </r>
      </text>
    </comment>
    <comment ref="L5" authorId="0">
      <text>
        <r>
          <rPr>
            <sz val="9"/>
            <color indexed="81"/>
            <rFont val="Tahoma"/>
            <family val="2"/>
          </rPr>
          <t xml:space="preserve">Enter interesting values, to see what happens…
Keep </t>
        </r>
        <r>
          <rPr>
            <i/>
            <sz val="9"/>
            <color indexed="81"/>
            <rFont val="Tahoma"/>
            <family val="2"/>
          </rPr>
          <t>μ</t>
        </r>
        <r>
          <rPr>
            <sz val="9"/>
            <color indexed="81"/>
            <rFont val="Tahoma"/>
            <family val="2"/>
          </rPr>
          <t xml:space="preserve"> and the ECS in legal ranges.</t>
        </r>
      </text>
    </comment>
    <comment ref="M5" authorId="0">
      <text>
        <r>
          <rPr>
            <sz val="9"/>
            <color indexed="81"/>
            <rFont val="Tahoma"/>
            <family val="2"/>
          </rPr>
          <t xml:space="preserve">The lapse rate </t>
        </r>
        <r>
          <rPr>
            <sz val="9"/>
            <color indexed="81"/>
            <rFont val="Calibri"/>
            <family val="2"/>
          </rPr>
          <t>Γ</t>
        </r>
        <r>
          <rPr>
            <sz val="9"/>
            <color indexed="81"/>
            <rFont val="Tahoma"/>
            <family val="2"/>
          </rPr>
          <t xml:space="preserve"> is positive; 
Γ ~ 6.5 K/km.</t>
        </r>
      </text>
    </comment>
    <comment ref="A7" authorId="0">
      <text>
        <r>
          <rPr>
            <sz val="9"/>
            <color indexed="81"/>
            <rFont val="Tahoma"/>
            <family val="2"/>
          </rPr>
          <t>Period of better radiosonde data, showing the WVEL did not ascend.</t>
        </r>
      </text>
    </comment>
    <comment ref="A11" authorId="0">
      <text>
        <r>
          <rPr>
            <sz val="9"/>
            <color indexed="81"/>
            <rFont val="Tahoma"/>
            <family val="2"/>
          </rPr>
          <t>Maybe the pre-satellite warming is exaggerated?
Halves the warming before 1979.</t>
        </r>
      </text>
    </comment>
    <comment ref="A16" authorId="0">
      <text>
        <r>
          <rPr>
            <sz val="9"/>
            <color indexed="81"/>
            <rFont val="Tahoma"/>
            <family val="2"/>
          </rPr>
          <t>Maybe the pre-satellite warming is exaggerated?
Halves the warming before 1979.</t>
        </r>
      </text>
    </comment>
    <comment ref="A17" authorId="0">
      <text>
        <r>
          <rPr>
            <sz val="9"/>
            <color indexed="81"/>
            <rFont val="Tahoma"/>
            <family val="2"/>
          </rPr>
          <t>Maybe the pre-satellite warming is exaggerated?
Halves the warming before 1979.</t>
        </r>
      </text>
    </comment>
    <comment ref="A18" authorId="0">
      <text>
        <r>
          <rPr>
            <sz val="9"/>
            <color indexed="81"/>
            <rFont val="Tahoma"/>
            <family val="2"/>
          </rPr>
          <t>Period of all radiosonde data, showing the WVEL did not ascend.</t>
        </r>
      </text>
    </comment>
    <comment ref="A23" authorId="0">
      <text>
        <r>
          <rPr>
            <sz val="9"/>
            <color indexed="81"/>
            <rFont val="Tahoma"/>
            <family val="2"/>
          </rPr>
          <t>Maybe the pre-satellite warming is exaggerated?
Halves the warming before 1979.</t>
        </r>
      </text>
    </comment>
  </commentList>
</comments>
</file>

<file path=xl/sharedStrings.xml><?xml version="1.0" encoding="utf-8"?>
<sst xmlns="http://schemas.openxmlformats.org/spreadsheetml/2006/main" count="535" uniqueCount="276">
  <si>
    <t>Stefan-Boltzmann constant</t>
  </si>
  <si>
    <t>1. Latitude</t>
  </si>
  <si>
    <t>Temperature at equator</t>
  </si>
  <si>
    <t xml:space="preserve"> K</t>
  </si>
  <si>
    <t>Radius of Earth</t>
  </si>
  <si>
    <t xml:space="preserve"> m</t>
  </si>
  <si>
    <t>Latitude per band</t>
  </si>
  <si>
    <r>
      <t xml:space="preserve"> </t>
    </r>
    <r>
      <rPr>
        <sz val="9"/>
        <color indexed="61"/>
        <rFont val="Calibri"/>
        <family val="2"/>
      </rPr>
      <t>°Lat</t>
    </r>
  </si>
  <si>
    <t>Temperature increment dT</t>
  </si>
  <si>
    <t>Latitude</t>
  </si>
  <si>
    <t>Weight</t>
  </si>
  <si>
    <t>Temperature offset from equator</t>
  </si>
  <si>
    <t>Temperature
T</t>
  </si>
  <si>
    <t>Weighted
T</t>
  </si>
  <si>
    <t>Weighted
R</t>
  </si>
  <si>
    <t>Area</t>
  </si>
  <si>
    <t>°Lat</t>
  </si>
  <si>
    <t>°C</t>
  </si>
  <si>
    <t>K</t>
  </si>
  <si>
    <t>W/m2</t>
  </si>
  <si>
    <t>m^2</t>
  </si>
  <si>
    <t>Totals</t>
  </si>
  <si>
    <t>W/m2 per K</t>
  </si>
  <si>
    <t>%</t>
  </si>
  <si>
    <t>2. Time of Day</t>
  </si>
  <si>
    <t>Max daily temperature</t>
  </si>
  <si>
    <t>Daily temperature range</t>
  </si>
  <si>
    <t>Hour</t>
  </si>
  <si>
    <t>Temperature deficit from maximum</t>
  </si>
  <si>
    <t>3. Seasons</t>
  </si>
  <si>
    <t>Hemi-sphere and Month</t>
  </si>
  <si>
    <t xml:space="preserve">Temperature </t>
  </si>
  <si>
    <t>NH Jan</t>
  </si>
  <si>
    <t>NH Feb</t>
  </si>
  <si>
    <t>NH Mar</t>
  </si>
  <si>
    <t>NH Apr</t>
  </si>
  <si>
    <t>NH May</t>
  </si>
  <si>
    <t>NH Jun</t>
  </si>
  <si>
    <t>NH Jul</t>
  </si>
  <si>
    <t>NH Aug</t>
  </si>
  <si>
    <t>NH Sep</t>
  </si>
  <si>
    <t>NH Oct</t>
  </si>
  <si>
    <t>NH Nov</t>
  </si>
  <si>
    <t>NH Dec</t>
  </si>
  <si>
    <t>SH Jan</t>
  </si>
  <si>
    <t>SH Feb</t>
  </si>
  <si>
    <t>SH Mar</t>
  </si>
  <si>
    <t>SH Apr</t>
  </si>
  <si>
    <t>SH May</t>
  </si>
  <si>
    <t>SH Jun</t>
  </si>
  <si>
    <t>SH Jul</t>
  </si>
  <si>
    <t>SH Aug</t>
  </si>
  <si>
    <t>SH Sep</t>
  </si>
  <si>
    <t>SH Oct</t>
  </si>
  <si>
    <t>SH Nov</t>
  </si>
  <si>
    <t>SH Dec</t>
  </si>
  <si>
    <t>OLR</t>
  </si>
  <si>
    <t>CO2</t>
  </si>
  <si>
    <t>Surface</t>
  </si>
  <si>
    <t>Cloud tops</t>
  </si>
  <si>
    <t>Water vapor</t>
  </si>
  <si>
    <t>Ozone</t>
  </si>
  <si>
    <t>Methane</t>
  </si>
  <si>
    <t>Emission Layer</t>
  </si>
  <si>
    <t>K per W/m2</t>
  </si>
  <si>
    <t>Σ. Total</t>
  </si>
  <si>
    <t>4. Emitting Layer</t>
  </si>
  <si>
    <t>sigma * epsilon</t>
  </si>
  <si>
    <t>SB - slope</t>
  </si>
  <si>
    <t>Planck - SB</t>
  </si>
  <si>
    <t>Planck - slope</t>
  </si>
  <si>
    <t>incremented TR -&gt;</t>
  </si>
  <si>
    <t>original TR -&gt;</t>
  </si>
  <si>
    <t>Slope = TR / (4 * R)</t>
  </si>
  <si>
    <t>Differences as % of slope</t>
  </si>
  <si>
    <t>1=yes, 0=no</t>
  </si>
  <si>
    <t>Emissivity of Earth</t>
  </si>
  <si>
    <t>Emissivity of surface</t>
  </si>
  <si>
    <t xml:space="preserve">Planck - SB, as % of SB </t>
  </si>
  <si>
    <t>Add components</t>
  </si>
  <si>
    <t>Multiply components</t>
  </si>
  <si>
    <t>Climate models (AR5)</t>
  </si>
  <si>
    <t>W/m2 per K^4</t>
  </si>
  <si>
    <t>Constants</t>
  </si>
  <si>
    <t>Introduction</t>
  </si>
  <si>
    <t>Color Key to Cells With Numbers</t>
  </si>
  <si>
    <t>Enter data</t>
  </si>
  <si>
    <t>Calculated</t>
  </si>
  <si>
    <t>Temperature of EL</t>
  </si>
  <si>
    <t>Treat CO2EL as SB surface</t>
  </si>
  <si>
    <t>ARTS multiplier M</t>
  </si>
  <si>
    <r>
      <t>albedo feedbacks f</t>
    </r>
    <r>
      <rPr>
        <vertAlign val="subscript"/>
        <sz val="9"/>
        <color indexed="61"/>
        <rFont val="Calibri"/>
        <family val="2"/>
      </rPr>
      <t>α</t>
    </r>
  </si>
  <si>
    <r>
      <t>lapse rate feedbacks f</t>
    </r>
    <r>
      <rPr>
        <vertAlign val="subscript"/>
        <sz val="9"/>
        <color indexed="61"/>
        <rFont val="Calibri"/>
        <family val="2"/>
      </rPr>
      <t>LR</t>
    </r>
  </si>
  <si>
    <r>
      <t>loop gain λ</t>
    </r>
    <r>
      <rPr>
        <vertAlign val="subscript"/>
        <sz val="9"/>
        <color indexed="61"/>
        <rFont val="Arial"/>
        <family val="2"/>
      </rPr>
      <t>SB</t>
    </r>
    <r>
      <rPr>
        <i/>
        <sz val="9"/>
        <color indexed="61"/>
        <rFont val="Arial"/>
        <family val="2"/>
      </rPr>
      <t xml:space="preserve"> * M * f</t>
    </r>
    <r>
      <rPr>
        <i/>
        <vertAlign val="subscript"/>
        <sz val="9"/>
        <color indexed="61"/>
        <rFont val="Arial"/>
        <family val="2"/>
      </rPr>
      <t>α</t>
    </r>
    <r>
      <rPr>
        <i/>
        <sz val="9"/>
        <color indexed="61"/>
        <rFont val="Arial"/>
        <family val="2"/>
      </rPr>
      <t xml:space="preserve"> </t>
    </r>
  </si>
  <si>
    <t>feedback multiplier</t>
  </si>
  <si>
    <t>Emitting layer</t>
  </si>
  <si>
    <t>Tropical Pacific Ocean</t>
  </si>
  <si>
    <t>Niger Valley</t>
  </si>
  <si>
    <t>Average</t>
  </si>
  <si>
    <t xml:space="preserve"> top 15.7 - 18</t>
  </si>
  <si>
    <t>bottom 15.7 - 18</t>
  </si>
  <si>
    <t>13 - 18</t>
  </si>
  <si>
    <t>top 13 - 14.3</t>
  </si>
  <si>
    <t>bottom 13 - 14.3</t>
  </si>
  <si>
    <t>Total</t>
  </si>
  <si>
    <t>Surface (day)</t>
  </si>
  <si>
    <t>12 to 13</t>
  </si>
  <si>
    <t>10 to 12</t>
  </si>
  <si>
    <t>8 to 9.4</t>
  </si>
  <si>
    <t>18 - 25</t>
  </si>
  <si>
    <t>25 - 67</t>
  </si>
  <si>
    <t>6.7 - 7.5</t>
  </si>
  <si>
    <t>9.4 to 10</t>
  </si>
  <si>
    <t>CH4</t>
  </si>
  <si>
    <t>7.6 to 8.0</t>
  </si>
  <si>
    <t>Total area</t>
  </si>
  <si>
    <t>total OLR</t>
  </si>
  <si>
    <t>water vapor</t>
  </si>
  <si>
    <t>K per km</t>
  </si>
  <si>
    <t>Emission</t>
  </si>
  <si>
    <t>Symbol</t>
  </si>
  <si>
    <t xml:space="preserve">   Clear    </t>
  </si>
  <si>
    <t>Overcast</t>
  </si>
  <si>
    <t xml:space="preserve">     All     </t>
  </si>
  <si>
    <t>SB Fraction</t>
  </si>
  <si>
    <t>Layer</t>
  </si>
  <si>
    <t>subscript</t>
  </si>
  <si>
    <t>Temperature</t>
  </si>
  <si>
    <t>Height</t>
  </si>
  <si>
    <t>Sky</t>
  </si>
  <si>
    <t>Units</t>
  </si>
  <si>
    <t>km</t>
  </si>
  <si>
    <r>
      <t>W/m</t>
    </r>
    <r>
      <rPr>
        <vertAlign val="superscript"/>
        <sz val="10"/>
        <color theme="1"/>
        <rFont val="Calibri"/>
        <family val="2"/>
        <scheme val="minor"/>
      </rPr>
      <t>2</t>
    </r>
  </si>
  <si>
    <t>R/(s*T^4)</t>
  </si>
  <si>
    <t>C</t>
  </si>
  <si>
    <t>S</t>
  </si>
  <si>
    <t>U</t>
  </si>
  <si>
    <t>W</t>
  </si>
  <si>
    <t>Z</t>
  </si>
  <si>
    <t>&gt; 15</t>
  </si>
  <si>
    <t>M</t>
  </si>
  <si>
    <t>Average/total</t>
  </si>
  <si>
    <t>Original
Trop. Pacific</t>
  </si>
  <si>
    <t xml:space="preserve"> rect. 13 - 18</t>
  </si>
  <si>
    <t>tri. 15.7 - 18</t>
  </si>
  <si>
    <t>tri. 13 - 14.3</t>
  </si>
  <si>
    <r>
      <rPr>
        <sz val="9"/>
        <color indexed="61"/>
        <rFont val="Calibri"/>
        <family val="2"/>
      </rPr>
      <t>τ</t>
    </r>
    <r>
      <rPr>
        <i/>
        <vertAlign val="subscript"/>
        <sz val="9"/>
        <color indexed="61"/>
        <rFont val="Arial"/>
        <family val="2"/>
      </rPr>
      <t>C</t>
    </r>
    <r>
      <rPr>
        <sz val="9"/>
        <color indexed="61"/>
        <rFont val="Arial"/>
        <family val="2"/>
      </rPr>
      <t xml:space="preserve">= </t>
    </r>
    <r>
      <rPr>
        <i/>
        <sz val="9"/>
        <color indexed="61"/>
        <rFont val="Arial"/>
        <family val="2"/>
      </rPr>
      <t>d R</t>
    </r>
    <r>
      <rPr>
        <vertAlign val="subscript"/>
        <sz val="9"/>
        <color indexed="61"/>
        <rFont val="Arial"/>
        <family val="2"/>
      </rPr>
      <t>C</t>
    </r>
    <r>
      <rPr>
        <sz val="9"/>
        <color indexed="61"/>
        <rFont val="Arial"/>
        <family val="2"/>
      </rPr>
      <t xml:space="preserve"> / </t>
    </r>
    <r>
      <rPr>
        <i/>
        <sz val="9"/>
        <color indexed="61"/>
        <rFont val="Arial"/>
        <family val="2"/>
      </rPr>
      <t>d T</t>
    </r>
    <r>
      <rPr>
        <vertAlign val="subscript"/>
        <sz val="9"/>
        <color indexed="61"/>
        <rFont val="Arial"/>
        <family val="2"/>
      </rPr>
      <t>S</t>
    </r>
  </si>
  <si>
    <t>W/m2 per K/km</t>
  </si>
  <si>
    <t xml:space="preserve">   </t>
  </si>
  <si>
    <r>
      <t>W/m</t>
    </r>
    <r>
      <rPr>
        <vertAlign val="superscript"/>
        <sz val="10"/>
        <color theme="1"/>
        <rFont val="Calibri"/>
        <family val="2"/>
        <scheme val="minor"/>
      </rPr>
      <t>2</t>
    </r>
    <r>
      <rPr>
        <sz val="10"/>
        <color theme="1"/>
        <rFont val="Calibri"/>
        <family val="2"/>
        <scheme val="minor"/>
      </rPr>
      <t xml:space="preserve"> per °C</t>
    </r>
  </si>
  <si>
    <r>
      <t>W/m</t>
    </r>
    <r>
      <rPr>
        <vertAlign val="superscript"/>
        <sz val="10"/>
        <color theme="1"/>
        <rFont val="Calibri"/>
        <family val="2"/>
        <scheme val="minor"/>
      </rPr>
      <t>2</t>
    </r>
    <r>
      <rPr>
        <sz val="10"/>
        <color theme="1"/>
        <rFont val="Calibri"/>
        <family val="2"/>
        <scheme val="minor"/>
      </rPr>
      <t xml:space="preserve"> per °C /km</t>
    </r>
  </si>
  <si>
    <r>
      <t>W/m</t>
    </r>
    <r>
      <rPr>
        <vertAlign val="superscript"/>
        <sz val="10"/>
        <color theme="1"/>
        <rFont val="Calibri"/>
        <family val="2"/>
        <scheme val="minor"/>
      </rPr>
      <t>2</t>
    </r>
    <r>
      <rPr>
        <sz val="10"/>
        <color theme="1"/>
        <rFont val="Calibri"/>
        <family val="2"/>
        <scheme val="minor"/>
      </rPr>
      <t xml:space="preserve"> per km</t>
    </r>
  </si>
  <si>
    <t>Expression</t>
  </si>
  <si>
    <t xml:space="preserve">  Surface</t>
  </si>
  <si>
    <t>Increase in OLR Due to Increased Cloud Cover</t>
  </si>
  <si>
    <r>
      <t>D</t>
    </r>
    <r>
      <rPr>
        <vertAlign val="subscript"/>
        <sz val="9"/>
        <color indexed="61"/>
        <rFont val="Arial"/>
        <family val="2"/>
      </rPr>
      <t>β</t>
    </r>
    <r>
      <rPr>
        <i/>
        <vertAlign val="subscript"/>
        <sz val="9"/>
        <color indexed="61"/>
        <rFont val="Arial"/>
        <family val="2"/>
      </rPr>
      <t xml:space="preserve"> </t>
    </r>
    <r>
      <rPr>
        <i/>
        <sz val="9"/>
        <color indexed="61"/>
        <rFont val="Arial"/>
        <family val="2"/>
      </rPr>
      <t>= d R / d β</t>
    </r>
  </si>
  <si>
    <t>W/m2 per 1</t>
  </si>
  <si>
    <t>Total Increase in OLR</t>
  </si>
  <si>
    <r>
      <rPr>
        <i/>
        <sz val="9"/>
        <color indexed="61"/>
        <rFont val="Cambria"/>
        <family val="1"/>
      </rPr>
      <t xml:space="preserve">τ </t>
    </r>
    <r>
      <rPr>
        <i/>
        <sz val="9"/>
        <color indexed="61"/>
        <rFont val="Arial"/>
        <family val="2"/>
      </rPr>
      <t>= d R / d T</t>
    </r>
    <r>
      <rPr>
        <i/>
        <vertAlign val="subscript"/>
        <sz val="9"/>
        <color indexed="61"/>
        <rFont val="Arial"/>
        <family val="2"/>
      </rPr>
      <t>S</t>
    </r>
  </si>
  <si>
    <t>Simple Case</t>
  </si>
  <si>
    <r>
      <rPr>
        <sz val="9"/>
        <color indexed="16"/>
        <rFont val="Calibri"/>
        <family val="2"/>
      </rPr>
      <t>∆</t>
    </r>
    <r>
      <rPr>
        <sz val="9"/>
        <color indexed="16"/>
        <rFont val="Arial"/>
        <family val="2"/>
      </rPr>
      <t>h</t>
    </r>
    <r>
      <rPr>
        <vertAlign val="subscript"/>
        <sz val="9"/>
        <color indexed="16"/>
        <rFont val="Arial"/>
        <family val="2"/>
      </rPr>
      <t>W</t>
    </r>
    <r>
      <rPr>
        <sz val="9"/>
        <color indexed="16"/>
        <rFont val="Arial"/>
        <family val="2"/>
      </rPr>
      <t xml:space="preserve"> (m)</t>
    </r>
  </si>
  <si>
    <r>
      <rPr>
        <sz val="9"/>
        <color indexed="16"/>
        <rFont val="Calibri"/>
        <family val="2"/>
      </rPr>
      <t>∆</t>
    </r>
    <r>
      <rPr>
        <sz val="9"/>
        <color indexed="16"/>
        <rFont val="Arial"/>
        <family val="2"/>
      </rPr>
      <t>T</t>
    </r>
    <r>
      <rPr>
        <vertAlign val="subscript"/>
        <sz val="9"/>
        <color indexed="16"/>
        <rFont val="Arial"/>
        <family val="2"/>
      </rPr>
      <t>S</t>
    </r>
    <r>
      <rPr>
        <sz val="9"/>
        <color indexed="16"/>
        <rFont val="Arial"/>
        <family val="2"/>
      </rPr>
      <t xml:space="preserve"> (K)</t>
    </r>
  </si>
  <si>
    <r>
      <rPr>
        <sz val="9"/>
        <color indexed="16"/>
        <rFont val="Calibri"/>
        <family val="2"/>
      </rPr>
      <t>∆</t>
    </r>
    <r>
      <rPr>
        <sz val="9"/>
        <color indexed="16"/>
        <rFont val="Arial"/>
        <family val="2"/>
      </rPr>
      <t>T</t>
    </r>
    <r>
      <rPr>
        <vertAlign val="subscript"/>
        <sz val="9"/>
        <color indexed="16"/>
        <rFont val="Arial"/>
        <family val="2"/>
      </rPr>
      <t>R</t>
    </r>
    <r>
      <rPr>
        <sz val="9"/>
        <color indexed="16"/>
        <rFont val="Arial"/>
        <family val="2"/>
      </rPr>
      <t xml:space="preserve"> (K)</t>
    </r>
  </si>
  <si>
    <t xml:space="preserve">Example 1 </t>
  </si>
  <si>
    <t xml:space="preserve">Example 2 </t>
  </si>
  <si>
    <t>Scenario</t>
  </si>
  <si>
    <t>Start</t>
  </si>
  <si>
    <t>End</t>
  </si>
  <si>
    <t>ECS</t>
  </si>
  <si>
    <t>ppm</t>
  </si>
  <si>
    <t>m</t>
  </si>
  <si>
    <t>A1</t>
  </si>
  <si>
    <t>A2</t>
  </si>
  <si>
    <t>A3</t>
  </si>
  <si>
    <t>A4</t>
  </si>
  <si>
    <t>B1</t>
  </si>
  <si>
    <t>B2</t>
  </si>
  <si>
    <t>B3</t>
  </si>
  <si>
    <t>B4</t>
  </si>
  <si>
    <t>B5</t>
  </si>
  <si>
    <t>B6</t>
  </si>
  <si>
    <t>C1</t>
  </si>
  <si>
    <t>C2</t>
  </si>
  <si>
    <t>C3</t>
  </si>
  <si>
    <t>D1</t>
  </si>
  <si>
    <t xml:space="preserve"> Mar. 2000</t>
  </si>
  <si>
    <t>Feb. 2010</t>
  </si>
  <si>
    <t>D2</t>
  </si>
  <si>
    <t>D3</t>
  </si>
  <si>
    <t>D4</t>
  </si>
  <si>
    <t>D5</t>
  </si>
  <si>
    <t>"sigma"</t>
  </si>
  <si>
    <t>"epsilon"</t>
  </si>
  <si>
    <t>Fraction</t>
  </si>
  <si>
    <t>Expand-&gt;</t>
  </si>
  <si>
    <t>Pre-increment</t>
  </si>
  <si>
    <t>realistic</t>
  </si>
  <si>
    <t>if was SB</t>
  </si>
  <si>
    <t>δ Ts</t>
  </si>
  <si>
    <t>δ R</t>
  </si>
  <si>
    <t>δ TR</t>
  </si>
  <si>
    <t>SB sensitivity = δ TR / δ R</t>
  </si>
  <si>
    <t>Planck sensitivity = δ Ts / δ R</t>
  </si>
  <si>
    <t>Temperature amplification = δ Ts / δ TR</t>
  </si>
  <si>
    <t>Incr. Temp.
T + δT</t>
  </si>
  <si>
    <t>Weighted
T + δT</t>
  </si>
  <si>
    <t>Weighted
R + δR</t>
  </si>
  <si>
    <t>TauC from the OLR model</t>
  </si>
  <si>
    <t>TauC to use here</t>
  </si>
  <si>
    <r>
      <rPr>
        <sz val="9"/>
        <color indexed="61"/>
        <rFont val="Calibri"/>
        <family val="2"/>
      </rPr>
      <t>D</t>
    </r>
    <r>
      <rPr>
        <vertAlign val="subscript"/>
        <sz val="9"/>
        <color indexed="61"/>
        <rFont val="Arial"/>
        <family val="2"/>
      </rPr>
      <t>R,2X</t>
    </r>
  </si>
  <si>
    <t>Stefan-Boltzmann and Planck Sensitivities</t>
  </si>
  <si>
    <t>Value</t>
  </si>
  <si>
    <t>Upper</t>
  </si>
  <si>
    <t>Lower</t>
  </si>
  <si>
    <t>Absolute Errors</t>
  </si>
  <si>
    <t>Fractional Errors</t>
  </si>
  <si>
    <t>Values</t>
  </si>
  <si>
    <t>±</t>
  </si>
  <si>
    <t>Absolute Error</t>
  </si>
  <si>
    <t>Fractional Error</t>
  </si>
  <si>
    <t>Post-increment</t>
  </si>
  <si>
    <t>Planck feedback = δ R / δ Ts</t>
  </si>
  <si>
    <t>Of Interest, But Not Used</t>
  </si>
  <si>
    <t>Joint Model Parameter</t>
  </si>
  <si>
    <t>Simple Case: CO2 Constant</t>
  </si>
  <si>
    <t>Simple Case: CO2 Doubles</t>
  </si>
  <si>
    <r>
      <t xml:space="preserve">Stef.-Boltz. sensitivty </t>
    </r>
    <r>
      <rPr>
        <sz val="9"/>
        <color indexed="61"/>
        <rFont val="Calibri"/>
        <family val="2"/>
      </rPr>
      <t>λ</t>
    </r>
    <r>
      <rPr>
        <i/>
        <vertAlign val="subscript"/>
        <sz val="9"/>
        <color indexed="61"/>
        <rFont val="Arial"/>
        <family val="2"/>
      </rPr>
      <t>SB</t>
    </r>
  </si>
  <si>
    <t>CO2EL Parameters</t>
  </si>
  <si>
    <t>CO2EL from Nimbus Diagram</t>
  </si>
  <si>
    <t>OLR from Areas on Nimbus Diagrams</t>
  </si>
  <si>
    <t>Estimating Parameters from Climate Data</t>
  </si>
  <si>
    <t>Input Data</t>
  </si>
  <si>
    <t>Name</t>
  </si>
  <si>
    <r>
      <t>Surface temperature (T</t>
    </r>
    <r>
      <rPr>
        <vertAlign val="subscript"/>
        <sz val="9"/>
        <color indexed="61"/>
        <rFont val="Arial"/>
        <family val="2"/>
      </rPr>
      <t>S</t>
    </r>
    <r>
      <rPr>
        <i/>
        <sz val="9"/>
        <color indexed="61"/>
        <rFont val="Arial"/>
        <family val="2"/>
      </rPr>
      <t>)</t>
    </r>
  </si>
  <si>
    <r>
      <t>Lapse rate (</t>
    </r>
    <r>
      <rPr>
        <i/>
        <sz val="9"/>
        <color indexed="61"/>
        <rFont val="Calibri"/>
        <family val="2"/>
      </rPr>
      <t>Γ</t>
    </r>
    <r>
      <rPr>
        <i/>
        <sz val="9"/>
        <color indexed="61"/>
        <rFont val="Arial"/>
        <family val="2"/>
      </rPr>
      <t>)</t>
    </r>
  </si>
  <si>
    <t>Cloud fraction (β)</t>
  </si>
  <si>
    <t>Increase
Temperatures by 10 K</t>
  </si>
  <si>
    <r>
      <t xml:space="preserve">g = d R / d </t>
    </r>
    <r>
      <rPr>
        <i/>
        <sz val="9"/>
        <color indexed="61"/>
        <rFont val="Calibri"/>
        <family val="2"/>
      </rPr>
      <t>Γ</t>
    </r>
  </si>
  <si>
    <t>Subscript</t>
  </si>
  <si>
    <t>Estimates</t>
  </si>
  <si>
    <t>Full Case</t>
  </si>
  <si>
    <t>Input Equations</t>
  </si>
  <si>
    <t>C4</t>
  </si>
  <si>
    <t>C5</t>
  </si>
  <si>
    <t>D6</t>
  </si>
  <si>
    <t>The OLR Model</t>
  </si>
  <si>
    <t>Stefan-Bolzmann ELs</t>
  </si>
  <si>
    <t>Parameters of the OLR Model</t>
  </si>
  <si>
    <t>Increase
Lapse Rate Uniformly
By 10%</t>
  </si>
  <si>
    <t>Increase
Lapse Rate to 5 km  only
By 10%</t>
  </si>
  <si>
    <r>
      <t>g</t>
    </r>
    <r>
      <rPr>
        <i/>
        <vertAlign val="subscript"/>
        <sz val="9"/>
        <color indexed="61"/>
        <rFont val="Arial"/>
        <family val="2"/>
      </rPr>
      <t>C,parital</t>
    </r>
    <r>
      <rPr>
        <i/>
        <sz val="9"/>
        <color indexed="61"/>
        <rFont val="Arial"/>
        <family val="2"/>
      </rPr>
      <t>= d R</t>
    </r>
    <r>
      <rPr>
        <i/>
        <vertAlign val="subscript"/>
        <sz val="9"/>
        <color indexed="61"/>
        <rFont val="Arial"/>
        <family val="2"/>
      </rPr>
      <t>C</t>
    </r>
    <r>
      <rPr>
        <i/>
        <sz val="9"/>
        <color indexed="61"/>
        <rFont val="Arial"/>
        <family val="2"/>
      </rPr>
      <t xml:space="preserve"> </t>
    </r>
    <r>
      <rPr>
        <sz val="9"/>
        <color indexed="61"/>
        <rFont val="Arial"/>
        <family val="2"/>
      </rPr>
      <t xml:space="preserve">/ </t>
    </r>
    <r>
      <rPr>
        <i/>
        <sz val="9"/>
        <color indexed="61"/>
        <rFont val="Arial"/>
        <family val="2"/>
      </rPr>
      <t xml:space="preserve">d </t>
    </r>
    <r>
      <rPr>
        <i/>
        <sz val="9"/>
        <color indexed="61"/>
        <rFont val="Calibri"/>
        <family val="2"/>
      </rPr>
      <t>Γ</t>
    </r>
  </si>
  <si>
    <r>
      <t>g</t>
    </r>
    <r>
      <rPr>
        <i/>
        <vertAlign val="subscript"/>
        <sz val="9"/>
        <color indexed="61"/>
        <rFont val="Arial"/>
        <family val="2"/>
      </rPr>
      <t>C,uniform</t>
    </r>
    <r>
      <rPr>
        <i/>
        <sz val="9"/>
        <color indexed="61"/>
        <rFont val="Arial"/>
        <family val="2"/>
      </rPr>
      <t>= d R</t>
    </r>
    <r>
      <rPr>
        <i/>
        <vertAlign val="subscript"/>
        <sz val="9"/>
        <color indexed="61"/>
        <rFont val="Arial"/>
        <family val="2"/>
      </rPr>
      <t>C</t>
    </r>
    <r>
      <rPr>
        <i/>
        <sz val="9"/>
        <color indexed="61"/>
        <rFont val="Arial"/>
        <family val="2"/>
      </rPr>
      <t xml:space="preserve"> </t>
    </r>
    <r>
      <rPr>
        <sz val="9"/>
        <color indexed="61"/>
        <rFont val="Arial"/>
        <family val="2"/>
      </rPr>
      <t xml:space="preserve">/ </t>
    </r>
    <r>
      <rPr>
        <i/>
        <sz val="9"/>
        <color indexed="61"/>
        <rFont val="Arial"/>
        <family val="2"/>
      </rPr>
      <t xml:space="preserve">d </t>
    </r>
    <r>
      <rPr>
        <i/>
        <sz val="9"/>
        <color indexed="61"/>
        <rFont val="Calibri"/>
        <family val="2"/>
      </rPr>
      <t>Γ</t>
    </r>
  </si>
  <si>
    <r>
      <t>g</t>
    </r>
    <r>
      <rPr>
        <vertAlign val="subscript"/>
        <sz val="9"/>
        <color indexed="61"/>
        <rFont val="Arial"/>
        <family val="2"/>
      </rPr>
      <t>uniform</t>
    </r>
    <r>
      <rPr>
        <i/>
        <sz val="9"/>
        <color indexed="61"/>
        <rFont val="Arial"/>
        <family val="2"/>
      </rPr>
      <t xml:space="preserve"> = d R / d </t>
    </r>
    <r>
      <rPr>
        <i/>
        <sz val="9"/>
        <color indexed="61"/>
        <rFont val="Calibri"/>
        <family val="2"/>
      </rPr>
      <t>Γ</t>
    </r>
  </si>
  <si>
    <r>
      <t>g</t>
    </r>
    <r>
      <rPr>
        <vertAlign val="subscript"/>
        <sz val="9"/>
        <color indexed="61"/>
        <rFont val="Arial"/>
        <family val="2"/>
      </rPr>
      <t xml:space="preserve">partial </t>
    </r>
    <r>
      <rPr>
        <i/>
        <sz val="9"/>
        <color indexed="61"/>
        <rFont val="Arial"/>
        <family val="2"/>
      </rPr>
      <t xml:space="preserve">= d R / d </t>
    </r>
    <r>
      <rPr>
        <i/>
        <sz val="9"/>
        <color indexed="61"/>
        <rFont val="Calibri"/>
        <family val="2"/>
      </rPr>
      <t>Γ</t>
    </r>
  </si>
  <si>
    <t>C6</t>
  </si>
  <si>
    <t>A5</t>
  </si>
  <si>
    <t>A6</t>
  </si>
  <si>
    <t>A7</t>
  </si>
  <si>
    <t>A8</t>
  </si>
  <si>
    <t>A9</t>
  </si>
  <si>
    <t>B7</t>
  </si>
  <si>
    <t>B8</t>
  </si>
  <si>
    <t>A91</t>
  </si>
  <si>
    <t>A92</t>
  </si>
  <si>
    <t>Estimates (by the Alternative Model)</t>
  </si>
  <si>
    <t>The Alternative (Joint) Model</t>
  </si>
  <si>
    <t>Argument 1</t>
  </si>
  <si>
    <t>Argument 2</t>
  </si>
  <si>
    <t>Argument 3</t>
  </si>
  <si>
    <t>Central</t>
  </si>
  <si>
    <t>a1 * a2</t>
  </si>
  <si>
    <t>a1 + a2</t>
  </si>
  <si>
    <t>Uncertainties in Quadrature</t>
  </si>
  <si>
    <t>a1 - a2</t>
  </si>
  <si>
    <t>a1 / a2</t>
  </si>
  <si>
    <t>a1 + a2 + a3</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</si>
</sst>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Red]\-#,##0"/>
    <numFmt numFmtId="165" formatCode="#,##0.0;[Red]\-#,##0.0"/>
    <numFmt numFmtId="166" formatCode="#,##0.000;[Red]\-#,##0.000"/>
    <numFmt numFmtId="167" formatCode="#,##0.00;[Red]\-#,##0.00"/>
    <numFmt numFmtId="168" formatCode="#,##0.000000;[Red]\-#,##0.000000"/>
    <numFmt numFmtId="169" formatCode="#,##0.0000;[Red]\-#,##0.0000"/>
    <numFmt numFmtId="170" formatCode="[$-C09]dd\ mmm\ yy;@"/>
    <numFmt numFmtId="171" formatCode="###0;[Red]\-###0"/>
  </numFmts>
  <fonts count="31" x14ac:knownFonts="1">
    <font>
      <sz val="11"/>
      <color theme="1"/>
      <name val="Calibri"/>
      <family val="2"/>
      <scheme val="minor"/>
    </font>
    <font>
      <b/>
      <sz val="18"/>
      <color indexed="18"/>
      <name val="Arial"/>
      <family val="2"/>
    </font>
    <font>
      <b/>
      <sz val="18"/>
      <color theme="0"/>
      <name val="Arial"/>
      <family val="2"/>
    </font>
    <font>
      <sz val="9"/>
      <color indexed="16"/>
      <name val="Arial"/>
      <family val="2"/>
    </font>
    <font>
      <sz val="9"/>
      <color theme="0"/>
      <name val="Arial"/>
      <family val="2"/>
    </font>
    <font>
      <i/>
      <sz val="9"/>
      <color indexed="61"/>
      <name val="Arial"/>
      <family val="2"/>
    </font>
    <font>
      <sz val="9"/>
      <name val="Arial"/>
      <family val="2"/>
    </font>
    <font>
      <sz val="9"/>
      <color indexed="61"/>
      <name val="Calibri"/>
      <family val="2"/>
    </font>
    <font>
      <sz val="9"/>
      <color indexed="81"/>
      <name val="Tahoma"/>
      <family val="2"/>
    </font>
    <font>
      <b/>
      <sz val="14"/>
      <color indexed="12"/>
      <name val="Arial"/>
      <family val="2"/>
    </font>
    <font>
      <b/>
      <sz val="10"/>
      <color indexed="12"/>
      <name val="Arial"/>
      <family val="2"/>
    </font>
    <font>
      <sz val="8"/>
      <name val="Arial"/>
      <family val="2"/>
    </font>
    <font>
      <b/>
      <sz val="18"/>
      <color rgb="FF002060"/>
      <name val="Arial"/>
      <family val="2"/>
    </font>
    <font>
      <sz val="9"/>
      <color rgb="FF002060"/>
      <name val="Arial"/>
      <family val="2"/>
    </font>
    <font>
      <i/>
      <vertAlign val="subscript"/>
      <sz val="9"/>
      <color indexed="61"/>
      <name val="Arial"/>
      <family val="2"/>
    </font>
    <font>
      <vertAlign val="subscript"/>
      <sz val="9"/>
      <color indexed="61"/>
      <name val="Calibri"/>
      <family val="2"/>
    </font>
    <font>
      <vertAlign val="subscript"/>
      <sz val="9"/>
      <color indexed="61"/>
      <name val="Arial"/>
      <family val="2"/>
    </font>
    <font>
      <i/>
      <sz val="9"/>
      <color indexed="61"/>
      <name val="Calibri"/>
      <family val="2"/>
    </font>
    <font>
      <sz val="10"/>
      <color theme="1"/>
      <name val="Calibri"/>
      <family val="2"/>
      <scheme val="minor"/>
    </font>
    <font>
      <vertAlign val="superscript"/>
      <sz val="10"/>
      <color theme="1"/>
      <name val="Calibri"/>
      <family val="2"/>
      <scheme val="minor"/>
    </font>
    <font>
      <sz val="9"/>
      <color indexed="61"/>
      <name val="Arial"/>
      <family val="2"/>
    </font>
    <font>
      <i/>
      <sz val="9"/>
      <color indexed="61"/>
      <name val="Cambria"/>
      <family val="1"/>
    </font>
    <font>
      <sz val="9"/>
      <color indexed="16"/>
      <name val="Calibri"/>
      <family val="2"/>
    </font>
    <font>
      <vertAlign val="subscript"/>
      <sz val="9"/>
      <color indexed="16"/>
      <name val="Arial"/>
      <family val="2"/>
    </font>
    <font>
      <i/>
      <sz val="9"/>
      <color indexed="16"/>
      <name val="Arial"/>
      <family val="2"/>
    </font>
    <font>
      <sz val="9"/>
      <color rgb="FFFF0000"/>
      <name val="Arial"/>
      <family val="2"/>
    </font>
    <font>
      <i/>
      <sz val="9"/>
      <color indexed="81"/>
      <name val="Tahoma"/>
      <family val="2"/>
    </font>
    <font>
      <b/>
      <sz val="18"/>
      <name val="Arial"/>
      <family val="2"/>
    </font>
    <font>
      <vertAlign val="subscript"/>
      <sz val="9"/>
      <color indexed="81"/>
      <name val="Tahoma"/>
      <family val="2"/>
    </font>
    <font>
      <sz val="9"/>
      <color indexed="81"/>
      <name val="Calibri"/>
      <family val="2"/>
    </font>
    <font>
      <b/>
      <sz val="10"/>
      <color theme="0"/>
      <name val="Arial"/>
      <family val="2"/>
    </font>
  </fonts>
  <fills count="25">
    <fill>
      <patternFill patternType="none"/>
    </fill>
    <fill>
      <patternFill patternType="gray125"/>
    </fill>
    <fill>
      <patternFill patternType="solid">
        <fgColor indexed="22"/>
        <bgColor indexed="64"/>
      </patternFill>
    </fill>
    <fill>
      <patternFill patternType="solid">
        <fgColor rgb="FF0000FF"/>
        <bgColor indexed="64"/>
      </patternFill>
    </fill>
    <fill>
      <patternFill patternType="solid">
        <fgColor rgb="FFFFFFCC"/>
        <bgColor indexed="64"/>
      </patternFill>
    </fill>
    <fill>
      <patternFill patternType="solid">
        <fgColor indexed="43"/>
        <bgColor indexed="64"/>
      </patternFill>
    </fill>
    <fill>
      <patternFill patternType="solid">
        <fgColor rgb="FFCCFFFF"/>
        <bgColor indexed="64"/>
      </patternFill>
    </fill>
    <fill>
      <patternFill patternType="solid">
        <fgColor rgb="FFFFCC99"/>
        <bgColor indexed="64"/>
      </patternFill>
    </fill>
    <fill>
      <patternFill patternType="solid">
        <fgColor theme="0"/>
        <bgColor indexed="64"/>
      </patternFill>
    </fill>
    <fill>
      <patternFill patternType="solid">
        <fgColor indexed="41"/>
        <bgColor indexed="64"/>
      </patternFill>
    </fill>
    <fill>
      <patternFill patternType="solid">
        <fgColor rgb="FFCCECFF"/>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CCFFCC"/>
        <bgColor indexed="64"/>
      </patternFill>
    </fill>
    <fill>
      <patternFill patternType="solid">
        <fgColor rgb="FFFFFFFF"/>
        <bgColor indexed="64"/>
      </patternFill>
    </fill>
    <fill>
      <patternFill patternType="solid">
        <fgColor rgb="FFFBD4B4"/>
        <bgColor indexed="64"/>
      </patternFill>
    </fill>
    <fill>
      <patternFill patternType="solid">
        <fgColor rgb="FFFFFF00"/>
        <bgColor indexed="64"/>
      </patternFill>
    </fill>
    <fill>
      <patternFill patternType="solid">
        <fgColor theme="9" tint="0.39997558519241921"/>
        <bgColor indexed="64"/>
      </patternFill>
    </fill>
    <fill>
      <patternFill patternType="solid">
        <fgColor rgb="FF33CC33"/>
        <bgColor indexed="64"/>
      </patternFill>
    </fill>
    <fill>
      <patternFill patternType="solid">
        <fgColor rgb="FFFFCC00"/>
        <bgColor indexed="64"/>
      </patternFill>
    </fill>
    <fill>
      <patternFill patternType="solid">
        <fgColor rgb="FF66CCFF"/>
        <bgColor indexed="64"/>
      </patternFill>
    </fill>
    <fill>
      <patternFill patternType="solid">
        <fgColor rgb="FF008000"/>
        <bgColor indexed="64"/>
      </patternFill>
    </fill>
    <fill>
      <patternFill patternType="solid">
        <fgColor rgb="FF00CC66"/>
        <bgColor indexed="64"/>
      </patternFill>
    </fill>
    <fill>
      <patternFill patternType="solid">
        <fgColor rgb="FFFFCCCC"/>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s>
  <cellStyleXfs count="13">
    <xf numFmtId="0" fontId="0" fillId="0" borderId="0"/>
    <xf numFmtId="0" fontId="1" fillId="2" borderId="0" applyFill="0" applyBorder="0" applyProtection="0">
      <alignment horizontal="left" vertical="top"/>
    </xf>
    <xf numFmtId="0" fontId="3" fillId="2" borderId="0"/>
    <xf numFmtId="0" fontId="5" fillId="2" borderId="0" applyFill="0" applyBorder="0" applyProtection="0">
      <alignment horizontal="right" vertical="top"/>
    </xf>
    <xf numFmtId="164" fontId="6" fillId="0" borderId="2" applyFill="0" applyBorder="0" applyProtection="0">
      <alignment horizontal="right" vertical="top"/>
    </xf>
    <xf numFmtId="0" fontId="5" fillId="5" borderId="1" applyFill="0" applyBorder="0" applyProtection="0">
      <alignment vertical="top" wrapText="1"/>
    </xf>
    <xf numFmtId="170" fontId="6" fillId="0" borderId="2" applyFill="0" applyBorder="0" applyProtection="0">
      <alignment horizontal="left" vertical="top"/>
    </xf>
    <xf numFmtId="0" fontId="9" fillId="0" borderId="0" applyFill="0" applyBorder="0" applyProtection="0">
      <alignment horizontal="left"/>
    </xf>
    <xf numFmtId="0" fontId="10" fillId="0" borderId="0" applyFill="0" applyBorder="0" applyProtection="0">
      <alignment horizontal="left"/>
    </xf>
    <xf numFmtId="0" fontId="6" fillId="0" borderId="2" applyFill="0" applyBorder="0" applyProtection="0">
      <alignment horizontal="left" vertical="top"/>
    </xf>
    <xf numFmtId="0" fontId="11" fillId="0" borderId="2" applyFill="0" applyBorder="0" applyProtection="0">
      <alignment horizontal="left" vertical="top"/>
    </xf>
    <xf numFmtId="0" fontId="11" fillId="0" borderId="2" applyFill="0" applyBorder="0" applyProtection="0">
      <alignment horizontal="left" vertical="top" wrapText="1"/>
    </xf>
    <xf numFmtId="171" fontId="6" fillId="9" borderId="0" applyFill="0" applyBorder="0" applyProtection="0">
      <alignment horizontal="right" vertical="top"/>
    </xf>
  </cellStyleXfs>
  <cellXfs count="233">
    <xf numFmtId="0" fontId="0" fillId="0" borderId="0" xfId="0"/>
    <xf numFmtId="0" fontId="2" fillId="3" borderId="0" xfId="1" applyFont="1" applyFill="1">
      <alignment horizontal="left" vertical="top"/>
    </xf>
    <xf numFmtId="0" fontId="4" fillId="3" borderId="0" xfId="2" applyFont="1" applyFill="1"/>
    <xf numFmtId="0" fontId="5" fillId="4" borderId="1" xfId="3" applyFill="1" applyBorder="1" applyAlignment="1">
      <alignment horizontal="left" vertical="top"/>
    </xf>
    <xf numFmtId="11" fontId="6" fillId="0" borderId="1" xfId="4" applyNumberFormat="1" applyFill="1" applyBorder="1">
      <alignment horizontal="right" vertical="top"/>
    </xf>
    <xf numFmtId="0" fontId="5" fillId="4" borderId="1" xfId="5" applyFill="1" applyBorder="1" applyAlignment="1">
      <alignment horizontal="left" vertical="top" wrapText="1"/>
    </xf>
    <xf numFmtId="0" fontId="3" fillId="2" borderId="0" xfId="2"/>
    <xf numFmtId="0" fontId="1" fillId="2" borderId="0" xfId="1">
      <alignment horizontal="left" vertical="top"/>
    </xf>
    <xf numFmtId="165" fontId="6" fillId="0" borderId="1" xfId="4" applyNumberFormat="1" applyFill="1" applyBorder="1">
      <alignment horizontal="right" vertical="top"/>
    </xf>
    <xf numFmtId="0" fontId="5" fillId="4" borderId="1" xfId="5" applyFill="1" applyBorder="1" applyAlignment="1">
      <alignment horizontal="center" vertical="top" wrapText="1"/>
    </xf>
    <xf numFmtId="0" fontId="5" fillId="4" borderId="3" xfId="5" applyFill="1" applyBorder="1" applyAlignment="1">
      <alignment horizontal="center" vertical="top" wrapText="1"/>
    </xf>
    <xf numFmtId="0" fontId="5" fillId="4" borderId="4" xfId="5" applyFill="1" applyBorder="1" applyAlignment="1">
      <alignment horizontal="center" vertical="top" wrapText="1"/>
    </xf>
    <xf numFmtId="0" fontId="5" fillId="4" borderId="5" xfId="5" applyFill="1" applyBorder="1" applyAlignment="1">
      <alignment horizontal="center" vertical="top" wrapText="1"/>
    </xf>
    <xf numFmtId="0" fontId="5" fillId="4" borderId="6" xfId="5" applyFill="1" applyBorder="1" applyAlignment="1">
      <alignment horizontal="center" vertical="top" wrapText="1"/>
    </xf>
    <xf numFmtId="165" fontId="6" fillId="6" borderId="2" xfId="4" applyNumberFormat="1" applyFill="1" applyBorder="1" applyAlignment="1">
      <alignment horizontal="right" vertical="top" indent="1"/>
    </xf>
    <xf numFmtId="166" fontId="6" fillId="6" borderId="2" xfId="4" applyNumberFormat="1" applyFill="1" applyBorder="1" applyAlignment="1">
      <alignment horizontal="right" vertical="top" indent="1"/>
    </xf>
    <xf numFmtId="164" fontId="6" fillId="0" borderId="7" xfId="4" applyNumberFormat="1" applyFill="1" applyBorder="1" applyAlignment="1">
      <alignment horizontal="right" vertical="top" indent="3"/>
    </xf>
    <xf numFmtId="164" fontId="6" fillId="6" borderId="8" xfId="4" applyNumberFormat="1" applyFill="1" applyBorder="1" applyAlignment="1">
      <alignment horizontal="right" vertical="top" indent="3"/>
    </xf>
    <xf numFmtId="167" fontId="6" fillId="6" borderId="9" xfId="4" applyNumberFormat="1" applyFill="1" applyBorder="1" applyAlignment="1">
      <alignment horizontal="right" vertical="top" indent="1"/>
    </xf>
    <xf numFmtId="164" fontId="6" fillId="6" borderId="10" xfId="4" applyNumberFormat="1" applyFill="1" applyBorder="1" applyAlignment="1">
      <alignment horizontal="right" vertical="top" indent="3"/>
    </xf>
    <xf numFmtId="166" fontId="6" fillId="6" borderId="2" xfId="4" applyNumberFormat="1" applyFill="1" applyBorder="1">
      <alignment horizontal="right" vertical="top"/>
    </xf>
    <xf numFmtId="164" fontId="6" fillId="6" borderId="11" xfId="4" applyNumberFormat="1" applyFill="1" applyBorder="1" applyAlignment="1">
      <alignment horizontal="right" vertical="top" indent="3"/>
    </xf>
    <xf numFmtId="165" fontId="6" fillId="6" borderId="12" xfId="4" applyNumberFormat="1" applyFill="1" applyBorder="1" applyAlignment="1">
      <alignment horizontal="right" vertical="top" indent="1"/>
    </xf>
    <xf numFmtId="0" fontId="5" fillId="2" borderId="13" xfId="3" applyBorder="1">
      <alignment horizontal="right" vertical="top"/>
    </xf>
    <xf numFmtId="166" fontId="6" fillId="6" borderId="1" xfId="4" applyNumberFormat="1" applyFill="1" applyBorder="1" applyAlignment="1">
      <alignment horizontal="right" vertical="top" indent="1"/>
    </xf>
    <xf numFmtId="0" fontId="3" fillId="2" borderId="14" xfId="2" applyBorder="1"/>
    <xf numFmtId="0" fontId="3" fillId="2" borderId="13" xfId="2" applyBorder="1"/>
    <xf numFmtId="165" fontId="6" fillId="6" borderId="1" xfId="4" applyNumberFormat="1" applyFill="1" applyBorder="1" applyAlignment="1">
      <alignment horizontal="right" vertical="top" indent="1"/>
    </xf>
    <xf numFmtId="167" fontId="6" fillId="6" borderId="5" xfId="4" applyNumberFormat="1" applyFill="1" applyBorder="1" applyAlignment="1">
      <alignment horizontal="right" vertical="top" indent="1"/>
    </xf>
    <xf numFmtId="0" fontId="3" fillId="2" borderId="15" xfId="2" applyBorder="1"/>
    <xf numFmtId="166" fontId="6" fillId="6" borderId="1" xfId="4" applyNumberFormat="1" applyFill="1" applyBorder="1">
      <alignment horizontal="right" vertical="top"/>
    </xf>
    <xf numFmtId="0" fontId="5" fillId="2" borderId="0" xfId="3">
      <alignment horizontal="right" vertical="top"/>
    </xf>
    <xf numFmtId="0" fontId="3" fillId="4" borderId="16" xfId="2" applyFill="1" applyBorder="1"/>
    <xf numFmtId="0" fontId="3" fillId="4" borderId="17" xfId="2" applyFill="1" applyBorder="1"/>
    <xf numFmtId="0" fontId="5" fillId="4" borderId="18" xfId="3" applyFill="1" applyBorder="1">
      <alignment horizontal="right" vertical="top"/>
    </xf>
    <xf numFmtId="0" fontId="5" fillId="4" borderId="6" xfId="3" applyFill="1" applyBorder="1">
      <alignment horizontal="right" vertical="top"/>
    </xf>
    <xf numFmtId="168" fontId="6" fillId="7" borderId="1" xfId="4" applyNumberFormat="1" applyFill="1" applyBorder="1">
      <alignment horizontal="right" vertical="top"/>
    </xf>
    <xf numFmtId="164" fontId="6" fillId="6" borderId="2" xfId="4" applyNumberFormat="1" applyFill="1" applyBorder="1" applyAlignment="1">
      <alignment horizontal="right" vertical="top" indent="1"/>
    </xf>
    <xf numFmtId="169" fontId="6" fillId="6" borderId="2" xfId="4" applyNumberFormat="1" applyFill="1" applyBorder="1" applyAlignment="1">
      <alignment horizontal="right" vertical="top" indent="1"/>
    </xf>
    <xf numFmtId="165" fontId="6" fillId="0" borderId="7" xfId="4" applyNumberFormat="1" applyFill="1" applyBorder="1" applyAlignment="1">
      <alignment horizontal="right" vertical="top" indent="3"/>
    </xf>
    <xf numFmtId="169" fontId="6" fillId="6" borderId="1" xfId="4" applyNumberFormat="1" applyFill="1" applyBorder="1" applyAlignment="1">
      <alignment horizontal="right" vertical="top" indent="1"/>
    </xf>
    <xf numFmtId="164" fontId="6" fillId="6" borderId="2" xfId="4" applyNumberFormat="1" applyFill="1" applyBorder="1" applyAlignment="1">
      <alignment horizontal="left" vertical="top" indent="1"/>
    </xf>
    <xf numFmtId="164" fontId="6" fillId="6" borderId="2" xfId="4" applyNumberFormat="1" applyFill="1" applyBorder="1" applyAlignment="1">
      <alignment horizontal="center" vertical="top"/>
    </xf>
    <xf numFmtId="165" fontId="6" fillId="0" borderId="2" xfId="4" applyNumberFormat="1" applyFill="1" applyBorder="1" applyAlignment="1">
      <alignment horizontal="right" vertical="top" indent="1"/>
    </xf>
    <xf numFmtId="167" fontId="6" fillId="6" borderId="7" xfId="4" applyNumberFormat="1" applyFill="1" applyBorder="1" applyAlignment="1">
      <alignment horizontal="right" vertical="top" indent="3"/>
    </xf>
    <xf numFmtId="164" fontId="6" fillId="0" borderId="8" xfId="4" applyNumberFormat="1" applyFill="1" applyBorder="1" applyAlignment="1">
      <alignment horizontal="right" vertical="top" indent="3"/>
    </xf>
    <xf numFmtId="165" fontId="6" fillId="6" borderId="5" xfId="4" applyNumberFormat="1" applyFill="1" applyBorder="1" applyAlignment="1">
      <alignment horizontal="right" vertical="top" indent="1"/>
    </xf>
    <xf numFmtId="0" fontId="3" fillId="2" borderId="0" xfId="2" applyBorder="1"/>
    <xf numFmtId="167" fontId="6" fillId="7" borderId="1" xfId="4" applyNumberFormat="1" applyFill="1" applyBorder="1">
      <alignment horizontal="right" vertical="top"/>
    </xf>
    <xf numFmtId="164" fontId="6" fillId="0" borderId="1" xfId="4" applyNumberFormat="1" applyFill="1" applyBorder="1" applyAlignment="1">
      <alignment horizontal="right" vertical="top" indent="1"/>
    </xf>
    <xf numFmtId="0" fontId="5" fillId="4" borderId="1" xfId="3" applyFill="1" applyBorder="1">
      <alignment horizontal="right" vertical="top"/>
    </xf>
    <xf numFmtId="168" fontId="6" fillId="6" borderId="1" xfId="4" applyNumberFormat="1" applyFill="1" applyBorder="1">
      <alignment horizontal="right" vertical="top"/>
    </xf>
    <xf numFmtId="0" fontId="5" fillId="2" borderId="19" xfId="3" applyBorder="1">
      <alignment horizontal="right" vertical="top"/>
    </xf>
    <xf numFmtId="166" fontId="6" fillId="0" borderId="1" xfId="4" applyNumberFormat="1" applyFill="1" applyBorder="1">
      <alignment horizontal="right" vertical="top"/>
    </xf>
    <xf numFmtId="0" fontId="5" fillId="4" borderId="3" xfId="3" applyFill="1" applyBorder="1" applyAlignment="1">
      <alignment horizontal="left" vertical="top"/>
    </xf>
    <xf numFmtId="0" fontId="5" fillId="4" borderId="6" xfId="3" applyFill="1" applyBorder="1" applyAlignment="1">
      <alignment horizontal="left" vertical="top"/>
    </xf>
    <xf numFmtId="0" fontId="3" fillId="4" borderId="14" xfId="2" applyFill="1" applyBorder="1"/>
    <xf numFmtId="0" fontId="3" fillId="4" borderId="15" xfId="2" applyFill="1" applyBorder="1"/>
    <xf numFmtId="0" fontId="5" fillId="4" borderId="13" xfId="3" applyFill="1" applyBorder="1">
      <alignment horizontal="right" vertical="top"/>
    </xf>
    <xf numFmtId="169" fontId="6" fillId="6" borderId="1" xfId="4" applyNumberFormat="1" applyFill="1" applyBorder="1">
      <alignment horizontal="right" vertical="top"/>
    </xf>
    <xf numFmtId="0" fontId="5" fillId="2" borderId="0" xfId="3" applyAlignment="1">
      <alignment horizontal="left" vertical="top"/>
    </xf>
    <xf numFmtId="0" fontId="5" fillId="4" borderId="3" xfId="3" applyFill="1" applyBorder="1">
      <alignment horizontal="right" vertical="top"/>
    </xf>
    <xf numFmtId="168" fontId="6" fillId="0" borderId="1" xfId="4" applyNumberFormat="1" applyFill="1" applyBorder="1">
      <alignment horizontal="right" vertical="top"/>
    </xf>
    <xf numFmtId="0" fontId="12" fillId="11" borderId="0" xfId="1" applyFont="1" applyFill="1">
      <alignment horizontal="left" vertical="top"/>
    </xf>
    <xf numFmtId="0" fontId="13" fillId="11" borderId="0" xfId="2" applyFont="1" applyFill="1"/>
    <xf numFmtId="0" fontId="10" fillId="2" borderId="0" xfId="8" applyFill="1">
      <alignment horizontal="left"/>
    </xf>
    <xf numFmtId="0" fontId="6" fillId="0" borderId="1" xfId="9" applyFill="1" applyBorder="1">
      <alignment horizontal="left" vertical="top"/>
    </xf>
    <xf numFmtId="0" fontId="6" fillId="6" borderId="1" xfId="9" applyFill="1" applyBorder="1">
      <alignment horizontal="left" vertical="top"/>
    </xf>
    <xf numFmtId="169" fontId="6" fillId="6" borderId="5" xfId="4" applyNumberFormat="1" applyFill="1" applyBorder="1" applyAlignment="1">
      <alignment horizontal="right" vertical="top" indent="1"/>
    </xf>
    <xf numFmtId="166" fontId="6" fillId="0" borderId="1" xfId="4" applyNumberFormat="1" applyFill="1" applyBorder="1" applyAlignment="1">
      <alignment horizontal="right" vertical="top" indent="1"/>
    </xf>
    <xf numFmtId="165" fontId="6" fillId="2" borderId="0" xfId="4" applyNumberFormat="1" applyFill="1" applyBorder="1">
      <alignment horizontal="right" vertical="top"/>
    </xf>
    <xf numFmtId="167" fontId="6" fillId="0" borderId="1" xfId="4" applyNumberFormat="1" applyFill="1" applyBorder="1" applyAlignment="1">
      <alignment horizontal="right" vertical="top" indent="1"/>
    </xf>
    <xf numFmtId="165" fontId="6" fillId="0" borderId="1" xfId="4" applyNumberFormat="1" applyFill="1" applyBorder="1" applyAlignment="1">
      <alignment horizontal="right" vertical="top" indent="1"/>
    </xf>
    <xf numFmtId="0" fontId="5" fillId="4" borderId="1" xfId="5" applyFill="1" applyBorder="1">
      <alignment vertical="top" wrapText="1"/>
    </xf>
    <xf numFmtId="0" fontId="5" fillId="12" borderId="2" xfId="3" applyFill="1" applyBorder="1" applyAlignment="1">
      <alignment horizontal="left" vertical="top"/>
    </xf>
    <xf numFmtId="165" fontId="6" fillId="12" borderId="2" xfId="4" applyNumberFormat="1" applyFill="1" applyBorder="1">
      <alignment horizontal="right" vertical="top"/>
    </xf>
    <xf numFmtId="165" fontId="6" fillId="13" borderId="2" xfId="4" applyNumberFormat="1" applyFill="1" applyBorder="1">
      <alignment horizontal="right" vertical="top"/>
    </xf>
    <xf numFmtId="0" fontId="11" fillId="12" borderId="2" xfId="10" applyFill="1" applyBorder="1" applyAlignment="1">
      <alignment horizontal="right" vertical="top"/>
    </xf>
    <xf numFmtId="167" fontId="6" fillId="0" borderId="2" xfId="4" applyNumberFormat="1" applyFill="1" applyBorder="1" applyAlignment="1">
      <alignment horizontal="right" vertical="top" indent="1"/>
    </xf>
    <xf numFmtId="165" fontId="6" fillId="13" borderId="2" xfId="4" applyNumberFormat="1" applyFill="1" applyBorder="1" applyAlignment="1">
      <alignment horizontal="right" vertical="top" indent="1"/>
    </xf>
    <xf numFmtId="167" fontId="6" fillId="6" borderId="2" xfId="4" applyNumberFormat="1" applyFill="1" applyBorder="1" applyAlignment="1">
      <alignment horizontal="right" vertical="top" indent="1"/>
    </xf>
    <xf numFmtId="0" fontId="5" fillId="12" borderId="20" xfId="3" applyFill="1" applyBorder="1" applyAlignment="1">
      <alignment horizontal="left" vertical="top"/>
    </xf>
    <xf numFmtId="167" fontId="6" fillId="12" borderId="20" xfId="4" applyNumberFormat="1" applyFill="1" applyBorder="1" applyAlignment="1">
      <alignment horizontal="right" vertical="top" indent="1"/>
    </xf>
    <xf numFmtId="165" fontId="6" fillId="13" borderId="20" xfId="4" applyNumberFormat="1" applyFill="1" applyBorder="1" applyAlignment="1">
      <alignment horizontal="right" vertical="top" indent="1"/>
    </xf>
    <xf numFmtId="0" fontId="11" fillId="12" borderId="12" xfId="10" applyFill="1" applyBorder="1" applyAlignment="1">
      <alignment horizontal="right" vertical="top"/>
    </xf>
    <xf numFmtId="167" fontId="6" fillId="6" borderId="12" xfId="4" applyNumberFormat="1" applyFill="1" applyBorder="1" applyAlignment="1">
      <alignment horizontal="right" vertical="top" indent="1"/>
    </xf>
    <xf numFmtId="165" fontId="6" fillId="13" borderId="12" xfId="4" applyNumberFormat="1" applyFill="1" applyBorder="1" applyAlignment="1">
      <alignment horizontal="right" vertical="top" indent="1"/>
    </xf>
    <xf numFmtId="167" fontId="6" fillId="12" borderId="2" xfId="4" applyNumberFormat="1" applyFill="1" applyBorder="1" applyAlignment="1">
      <alignment horizontal="right" vertical="top" indent="1"/>
    </xf>
    <xf numFmtId="0" fontId="5" fillId="12" borderId="1" xfId="3" applyFill="1" applyBorder="1" applyAlignment="1">
      <alignment horizontal="left" vertical="top"/>
    </xf>
    <xf numFmtId="167" fontId="6" fillId="6" borderId="1" xfId="4" applyNumberFormat="1" applyFill="1" applyBorder="1" applyAlignment="1">
      <alignment horizontal="right" vertical="top" indent="1"/>
    </xf>
    <xf numFmtId="165" fontId="6" fillId="13" borderId="1" xfId="4" applyNumberFormat="1" applyFill="1" applyBorder="1" applyAlignment="1">
      <alignment horizontal="right" vertical="top" indent="1"/>
    </xf>
    <xf numFmtId="0" fontId="11" fillId="12" borderId="1" xfId="10" applyFill="1" applyBorder="1" applyAlignment="1">
      <alignment horizontal="right" vertical="top"/>
    </xf>
    <xf numFmtId="167" fontId="6" fillId="0" borderId="1" xfId="4" applyNumberFormat="1" applyFill="1" applyBorder="1">
      <alignment horizontal="right" vertical="top"/>
    </xf>
    <xf numFmtId="0" fontId="18" fillId="14" borderId="20" xfId="0" applyFont="1" applyFill="1" applyBorder="1" applyAlignment="1">
      <alignment horizontal="center" vertical="center" wrapText="1"/>
    </xf>
    <xf numFmtId="0" fontId="18" fillId="14" borderId="2" xfId="0" applyFont="1" applyFill="1" applyBorder="1" applyAlignment="1">
      <alignment horizontal="center" vertical="center" wrapText="1"/>
    </xf>
    <xf numFmtId="0" fontId="0" fillId="14" borderId="12" xfId="0" applyFill="1" applyBorder="1" applyAlignment="1">
      <alignment vertical="top" wrapText="1"/>
    </xf>
    <xf numFmtId="0" fontId="18" fillId="14" borderId="12" xfId="0" applyFont="1" applyFill="1" applyBorder="1" applyAlignment="1">
      <alignment horizontal="center" vertical="center" wrapText="1"/>
    </xf>
    <xf numFmtId="0" fontId="18" fillId="14" borderId="1" xfId="0" applyFont="1" applyFill="1" applyBorder="1" applyAlignment="1">
      <alignment horizontal="center" vertical="center" wrapText="1"/>
    </xf>
    <xf numFmtId="0" fontId="18" fillId="14" borderId="20" xfId="0" applyFont="1" applyFill="1" applyBorder="1" applyAlignment="1">
      <alignment vertical="top" wrapText="1"/>
    </xf>
    <xf numFmtId="0" fontId="6" fillId="12" borderId="21" xfId="9" applyFill="1" applyBorder="1" applyAlignment="1">
      <alignment horizontal="center" vertical="top"/>
    </xf>
    <xf numFmtId="0" fontId="18" fillId="12" borderId="21" xfId="0" applyFont="1" applyFill="1" applyBorder="1" applyAlignment="1">
      <alignment horizontal="center" vertical="center" wrapText="1"/>
    </xf>
    <xf numFmtId="165" fontId="6" fillId="15" borderId="21" xfId="4" applyNumberFormat="1" applyFill="1" applyBorder="1" applyAlignment="1">
      <alignment horizontal="center" vertical="top"/>
    </xf>
    <xf numFmtId="165" fontId="6" fillId="6" borderId="21" xfId="4" applyNumberFormat="1" applyFill="1" applyBorder="1" applyAlignment="1">
      <alignment horizontal="center" vertical="top"/>
    </xf>
    <xf numFmtId="165" fontId="6" fillId="16" borderId="21" xfId="4" applyNumberFormat="1" applyFill="1" applyBorder="1" applyAlignment="1">
      <alignment horizontal="center" vertical="top"/>
    </xf>
    <xf numFmtId="0" fontId="6" fillId="12" borderId="1" xfId="9" applyFill="1" applyBorder="1" applyAlignment="1">
      <alignment horizontal="center" vertical="top"/>
    </xf>
    <xf numFmtId="0" fontId="18" fillId="12" borderId="1" xfId="0" applyFont="1" applyFill="1" applyBorder="1" applyAlignment="1">
      <alignment horizontal="center" vertical="center" wrapText="1"/>
    </xf>
    <xf numFmtId="165" fontId="6" fillId="6" borderId="1" xfId="4" applyNumberFormat="1" applyFill="1" applyBorder="1" applyAlignment="1">
      <alignment horizontal="center" vertical="top"/>
    </xf>
    <xf numFmtId="165" fontId="6" fillId="15" borderId="1" xfId="4" applyNumberFormat="1" applyFill="1" applyBorder="1" applyAlignment="1">
      <alignment horizontal="center" vertical="top"/>
    </xf>
    <xf numFmtId="165" fontId="6" fillId="0" borderId="1" xfId="4" applyNumberFormat="1" applyBorder="1" applyAlignment="1">
      <alignment horizontal="center" vertical="top"/>
    </xf>
    <xf numFmtId="165" fontId="6" fillId="16" borderId="1" xfId="4" applyNumberFormat="1" applyFill="1" applyBorder="1" applyAlignment="1">
      <alignment horizontal="center" vertical="top"/>
    </xf>
    <xf numFmtId="166" fontId="6" fillId="6" borderId="1" xfId="4" applyNumberFormat="1" applyFill="1" applyBorder="1" applyAlignment="1">
      <alignment horizontal="center" vertical="top"/>
    </xf>
    <xf numFmtId="165" fontId="6" fillId="12" borderId="1" xfId="4" applyNumberFormat="1" applyFill="1" applyBorder="1" applyAlignment="1">
      <alignment horizontal="center" vertical="top"/>
    </xf>
    <xf numFmtId="0" fontId="6" fillId="12" borderId="20" xfId="9" applyFill="1" applyBorder="1" applyAlignment="1">
      <alignment horizontal="center" vertical="top"/>
    </xf>
    <xf numFmtId="0" fontId="18" fillId="12" borderId="20" xfId="0" applyFont="1" applyFill="1" applyBorder="1" applyAlignment="1">
      <alignment horizontal="center" vertical="center" wrapText="1"/>
    </xf>
    <xf numFmtId="165" fontId="6" fillId="15" borderId="20" xfId="4" applyNumberFormat="1" applyFill="1" applyBorder="1" applyAlignment="1">
      <alignment horizontal="center" vertical="top"/>
    </xf>
    <xf numFmtId="165" fontId="6" fillId="6" borderId="20" xfId="4" applyNumberFormat="1" applyFill="1" applyBorder="1" applyAlignment="1">
      <alignment horizontal="center" vertical="top"/>
    </xf>
    <xf numFmtId="165" fontId="6" fillId="16" borderId="22" xfId="4" applyNumberFormat="1" applyFill="1" applyBorder="1" applyAlignment="1">
      <alignment horizontal="center" vertical="top"/>
    </xf>
    <xf numFmtId="0" fontId="5" fillId="2" borderId="0" xfId="3" applyFill="1" applyBorder="1" applyAlignment="1">
      <alignment horizontal="right" vertical="top"/>
    </xf>
    <xf numFmtId="0" fontId="18" fillId="10" borderId="20" xfId="0" applyFont="1" applyFill="1" applyBorder="1" applyAlignment="1">
      <alignment horizontal="center" vertical="center" wrapText="1"/>
    </xf>
    <xf numFmtId="0" fontId="18" fillId="10" borderId="12" xfId="0" applyFont="1" applyFill="1" applyBorder="1" applyAlignment="1">
      <alignment horizontal="center" vertical="center" wrapText="1"/>
    </xf>
    <xf numFmtId="0" fontId="18" fillId="10" borderId="1" xfId="0" applyFont="1" applyFill="1" applyBorder="1" applyAlignment="1">
      <alignment horizontal="center" vertical="center" wrapText="1"/>
    </xf>
    <xf numFmtId="0" fontId="18" fillId="10" borderId="1" xfId="0" applyFont="1" applyFill="1" applyBorder="1" applyAlignment="1">
      <alignment vertical="top" wrapText="1"/>
    </xf>
    <xf numFmtId="164" fontId="6" fillId="6" borderId="1" xfId="4" applyNumberFormat="1" applyFill="1" applyBorder="1" applyAlignment="1">
      <alignment horizontal="center" vertical="top"/>
    </xf>
    <xf numFmtId="167" fontId="6" fillId="6" borderId="1" xfId="4" applyNumberFormat="1" applyFill="1" applyBorder="1" applyAlignment="1">
      <alignment horizontal="center" vertical="top"/>
    </xf>
    <xf numFmtId="0" fontId="3" fillId="4" borderId="1" xfId="2" applyFill="1" applyBorder="1" applyAlignment="1">
      <alignment horizontal="right" indent="1"/>
    </xf>
    <xf numFmtId="166" fontId="6" fillId="0" borderId="2" xfId="4" applyNumberFormat="1" applyFill="1" applyBorder="1" applyAlignment="1">
      <alignment horizontal="right" vertical="top" indent="1"/>
    </xf>
    <xf numFmtId="164" fontId="6" fillId="0" borderId="12" xfId="4" applyNumberFormat="1" applyFill="1" applyBorder="1" applyAlignment="1">
      <alignment horizontal="right" vertical="top" indent="1"/>
    </xf>
    <xf numFmtId="166" fontId="6" fillId="6" borderId="12" xfId="4" applyNumberFormat="1" applyFill="1" applyBorder="1" applyAlignment="1">
      <alignment horizontal="right" vertical="top" indent="1"/>
    </xf>
    <xf numFmtId="0" fontId="3" fillId="18" borderId="1" xfId="2" applyFill="1" applyBorder="1"/>
    <xf numFmtId="0" fontId="5" fillId="18" borderId="1" xfId="5" applyFill="1" applyBorder="1" applyAlignment="1">
      <alignment horizontal="center" vertical="top" wrapText="1"/>
    </xf>
    <xf numFmtId="0" fontId="24" fillId="4" borderId="1" xfId="2" applyFont="1" applyFill="1" applyBorder="1" applyAlignment="1">
      <alignment horizontal="center"/>
    </xf>
    <xf numFmtId="165" fontId="6" fillId="0" borderId="2" xfId="4" applyNumberFormat="1" applyFill="1" applyBorder="1" applyAlignment="1">
      <alignment horizontal="center" vertical="top"/>
    </xf>
    <xf numFmtId="167" fontId="6" fillId="0" borderId="2" xfId="4" applyNumberFormat="1" applyFill="1" applyBorder="1" applyAlignment="1">
      <alignment horizontal="center" vertical="top"/>
    </xf>
    <xf numFmtId="164" fontId="6" fillId="0" borderId="2" xfId="4" applyNumberFormat="1" applyFill="1" applyBorder="1" applyAlignment="1">
      <alignment horizontal="right" vertical="top" indent="1"/>
    </xf>
    <xf numFmtId="0" fontId="3" fillId="4" borderId="1" xfId="2" applyFill="1" applyBorder="1" applyAlignment="1">
      <alignment horizontal="center" vertical="top"/>
    </xf>
    <xf numFmtId="0" fontId="20" fillId="4" borderId="1" xfId="5" applyFont="1" applyFill="1" applyBorder="1" applyAlignment="1">
      <alignment horizontal="center" vertical="top" wrapText="1"/>
    </xf>
    <xf numFmtId="0" fontId="5" fillId="4" borderId="3" xfId="5" applyFont="1" applyFill="1" applyBorder="1" applyAlignment="1">
      <alignment horizontal="center" vertical="top" wrapText="1"/>
    </xf>
    <xf numFmtId="16" fontId="3" fillId="2" borderId="0" xfId="2" applyNumberFormat="1"/>
    <xf numFmtId="11" fontId="6" fillId="6" borderId="1" xfId="4" applyNumberFormat="1" applyFill="1" applyBorder="1">
      <alignment horizontal="right" vertical="top"/>
    </xf>
    <xf numFmtId="0" fontId="27" fillId="19" borderId="0" xfId="1" applyFont="1" applyFill="1">
      <alignment horizontal="left" vertical="top"/>
    </xf>
    <xf numFmtId="0" fontId="6" fillId="19" borderId="0" xfId="2" applyFont="1" applyFill="1"/>
    <xf numFmtId="169" fontId="6" fillId="0" borderId="1" xfId="4" applyNumberFormat="1" applyFill="1" applyBorder="1">
      <alignment horizontal="right" vertical="top"/>
    </xf>
    <xf numFmtId="169" fontId="6" fillId="6" borderId="20" xfId="4" applyNumberFormat="1" applyFill="1" applyBorder="1">
      <alignment horizontal="right" vertical="top"/>
    </xf>
    <xf numFmtId="0" fontId="5" fillId="4" borderId="20" xfId="5" applyFill="1" applyBorder="1" applyAlignment="1">
      <alignment horizontal="center" vertical="top" wrapText="1"/>
    </xf>
    <xf numFmtId="166" fontId="6" fillId="8" borderId="1" xfId="4" applyNumberFormat="1" applyFill="1" applyBorder="1" applyAlignment="1">
      <alignment horizontal="right" vertical="top" indent="1"/>
    </xf>
    <xf numFmtId="0" fontId="20" fillId="4" borderId="3" xfId="3" applyFont="1" applyFill="1" applyBorder="1" applyAlignment="1">
      <alignment horizontal="left" vertical="top"/>
    </xf>
    <xf numFmtId="0" fontId="12" fillId="17" borderId="0" xfId="1" applyFont="1" applyFill="1">
      <alignment horizontal="left" vertical="top"/>
    </xf>
    <xf numFmtId="0" fontId="13" fillId="17" borderId="0" xfId="2" applyFont="1" applyFill="1"/>
    <xf numFmtId="166" fontId="6" fillId="0" borderId="20" xfId="4" applyNumberFormat="1" applyFill="1" applyBorder="1">
      <alignment horizontal="right" vertical="top"/>
    </xf>
    <xf numFmtId="166" fontId="6" fillId="0" borderId="12" xfId="4" applyNumberFormat="1" applyFill="1" applyBorder="1">
      <alignment horizontal="right" vertical="top"/>
    </xf>
    <xf numFmtId="166" fontId="6" fillId="6" borderId="20" xfId="4" applyNumberFormat="1" applyFill="1" applyBorder="1">
      <alignment horizontal="right" vertical="top"/>
    </xf>
    <xf numFmtId="166" fontId="6" fillId="6" borderId="12" xfId="4" applyNumberFormat="1" applyFill="1" applyBorder="1">
      <alignment horizontal="right" vertical="top"/>
    </xf>
    <xf numFmtId="0" fontId="5" fillId="4" borderId="1" xfId="5" applyFill="1" applyBorder="1" applyAlignment="1">
      <alignment horizontal="right" vertical="top" wrapText="1"/>
    </xf>
    <xf numFmtId="0" fontId="3" fillId="2" borderId="0" xfId="2" applyAlignment="1"/>
    <xf numFmtId="0" fontId="7" fillId="4" borderId="1" xfId="5" applyFont="1" applyFill="1" applyBorder="1" applyAlignment="1">
      <alignment horizontal="center" vertical="top" wrapText="1"/>
    </xf>
    <xf numFmtId="166" fontId="6" fillId="0" borderId="2" xfId="4" applyNumberFormat="1" applyFill="1" applyBorder="1">
      <alignment horizontal="right" vertical="top"/>
    </xf>
    <xf numFmtId="0" fontId="5" fillId="4" borderId="3" xfId="5" applyFill="1" applyBorder="1" applyAlignment="1">
      <alignment horizontal="center" vertical="top" wrapText="1"/>
    </xf>
    <xf numFmtId="0" fontId="18" fillId="10" borderId="1" xfId="0" applyFont="1" applyFill="1" applyBorder="1" applyAlignment="1">
      <alignment vertical="top" wrapText="1"/>
    </xf>
    <xf numFmtId="0" fontId="18" fillId="10" borderId="1" xfId="0" applyFont="1" applyFill="1" applyBorder="1" applyAlignment="1">
      <alignment horizontal="center" vertical="center" wrapText="1"/>
    </xf>
    <xf numFmtId="0" fontId="6" fillId="18" borderId="1" xfId="2" applyFont="1" applyFill="1" applyBorder="1" applyAlignment="1">
      <alignment horizontal="center" vertical="center"/>
    </xf>
    <xf numFmtId="165" fontId="6" fillId="0" borderId="1" xfId="4" applyNumberFormat="1" applyFill="1" applyBorder="1" applyAlignment="1">
      <alignment horizontal="center" vertical="top"/>
    </xf>
    <xf numFmtId="0" fontId="12" fillId="10" borderId="0" xfId="1" applyFont="1" applyFill="1">
      <alignment horizontal="left" vertical="top"/>
    </xf>
    <xf numFmtId="0" fontId="13" fillId="10" borderId="0" xfId="2" applyFont="1" applyFill="1"/>
    <xf numFmtId="0" fontId="3" fillId="20" borderId="0" xfId="2" applyFill="1"/>
    <xf numFmtId="0" fontId="10" fillId="20" borderId="0" xfId="8" applyFill="1">
      <alignment horizontal="left"/>
    </xf>
    <xf numFmtId="0" fontId="10" fillId="21" borderId="0" xfId="8" applyFill="1">
      <alignment horizontal="left"/>
    </xf>
    <xf numFmtId="0" fontId="3" fillId="21" borderId="0" xfId="2" applyFill="1"/>
    <xf numFmtId="164" fontId="6" fillId="6" borderId="0" xfId="4" applyNumberFormat="1" applyFill="1" applyBorder="1" applyAlignment="1">
      <alignment horizontal="right" vertical="top" indent="1"/>
    </xf>
    <xf numFmtId="0" fontId="30" fillId="22" borderId="0" xfId="8" applyFont="1" applyFill="1">
      <alignment horizontal="left"/>
    </xf>
    <xf numFmtId="0" fontId="4" fillId="22" borderId="0" xfId="2" applyFont="1" applyFill="1"/>
    <xf numFmtId="0" fontId="10" fillId="14" borderId="0" xfId="8" applyFill="1">
      <alignment horizontal="left"/>
    </xf>
    <xf numFmtId="0" fontId="3" fillId="14" borderId="0" xfId="2" applyFill="1"/>
    <xf numFmtId="0" fontId="10" fillId="23" borderId="0" xfId="8" applyFill="1">
      <alignment horizontal="left"/>
    </xf>
    <xf numFmtId="0" fontId="3" fillId="23" borderId="0" xfId="2" applyFill="1"/>
    <xf numFmtId="164" fontId="6" fillId="17" borderId="14" xfId="4" applyFill="1" applyBorder="1" applyAlignment="1">
      <alignment horizontal="center" vertical="top"/>
    </xf>
    <xf numFmtId="171" fontId="6" fillId="0" borderId="15" xfId="12" applyFill="1" applyBorder="1" applyAlignment="1">
      <alignment horizontal="center" vertical="top"/>
    </xf>
    <xf numFmtId="166" fontId="6" fillId="0" borderId="15" xfId="4" applyNumberFormat="1" applyFill="1" applyBorder="1" applyAlignment="1">
      <alignment horizontal="center" vertical="top"/>
    </xf>
    <xf numFmtId="166" fontId="6" fillId="6" borderId="15" xfId="4" applyNumberFormat="1" applyFill="1" applyBorder="1" applyAlignment="1">
      <alignment horizontal="center" vertical="top"/>
    </xf>
    <xf numFmtId="164" fontId="6" fillId="0" borderId="15" xfId="4" applyFill="1" applyBorder="1" applyAlignment="1">
      <alignment horizontal="center" vertical="top"/>
    </xf>
    <xf numFmtId="164" fontId="6" fillId="0" borderId="15" xfId="4" applyNumberFormat="1" applyFill="1" applyBorder="1" applyAlignment="1">
      <alignment horizontal="center" vertical="top"/>
    </xf>
    <xf numFmtId="164" fontId="6" fillId="0" borderId="15" xfId="4" applyFill="1" applyBorder="1" applyAlignment="1">
      <alignment horizontal="right" vertical="top" indent="1"/>
    </xf>
    <xf numFmtId="164" fontId="6" fillId="0" borderId="15" xfId="4" applyNumberFormat="1" applyFill="1" applyBorder="1" applyAlignment="1">
      <alignment horizontal="right" vertical="top" indent="1"/>
    </xf>
    <xf numFmtId="167" fontId="6" fillId="6" borderId="15" xfId="4" applyNumberFormat="1" applyFill="1" applyBorder="1" applyAlignment="1">
      <alignment horizontal="right" vertical="top" indent="1"/>
    </xf>
    <xf numFmtId="164" fontId="6" fillId="6" borderId="15" xfId="4" applyNumberFormat="1" applyFill="1" applyBorder="1" applyAlignment="1">
      <alignment horizontal="right" vertical="top" indent="1"/>
    </xf>
    <xf numFmtId="167" fontId="6" fillId="6" borderId="15" xfId="4" applyNumberFormat="1" applyFill="1" applyBorder="1" applyAlignment="1">
      <alignment horizontal="center" vertical="top"/>
    </xf>
    <xf numFmtId="167" fontId="6" fillId="6" borderId="13" xfId="4" applyNumberFormat="1" applyFill="1" applyBorder="1" applyAlignment="1">
      <alignment horizontal="center" vertical="top"/>
    </xf>
    <xf numFmtId="164" fontId="6" fillId="17" borderId="7" xfId="4" applyFill="1" applyBorder="1" applyAlignment="1">
      <alignment horizontal="center" vertical="top"/>
    </xf>
    <xf numFmtId="171" fontId="6" fillId="0" borderId="0" xfId="12" applyFill="1" applyBorder="1" applyAlignment="1">
      <alignment horizontal="center" vertical="top"/>
    </xf>
    <xf numFmtId="166" fontId="6" fillId="0" borderId="0" xfId="4" applyNumberFormat="1" applyFill="1" applyBorder="1" applyAlignment="1">
      <alignment horizontal="center" vertical="top"/>
    </xf>
    <xf numFmtId="166" fontId="6" fillId="6" borderId="0" xfId="4" applyNumberFormat="1" applyFill="1" applyBorder="1" applyAlignment="1">
      <alignment horizontal="center" vertical="top"/>
    </xf>
    <xf numFmtId="164" fontId="6" fillId="0" borderId="0" xfId="4" applyFill="1" applyBorder="1" applyAlignment="1">
      <alignment horizontal="center" vertical="top"/>
    </xf>
    <xf numFmtId="164" fontId="6" fillId="0" borderId="0" xfId="4" applyNumberFormat="1" applyFill="1" applyBorder="1" applyAlignment="1">
      <alignment horizontal="center" vertical="top"/>
    </xf>
    <xf numFmtId="164" fontId="6" fillId="0" borderId="0" xfId="4" applyFill="1" applyBorder="1" applyAlignment="1">
      <alignment horizontal="right" vertical="top" indent="1"/>
    </xf>
    <xf numFmtId="164" fontId="6" fillId="0" borderId="0" xfId="4" applyNumberFormat="1" applyFill="1" applyBorder="1" applyAlignment="1">
      <alignment horizontal="right" vertical="top" indent="1"/>
    </xf>
    <xf numFmtId="165" fontId="6" fillId="0" borderId="0" xfId="4" applyNumberFormat="1" applyFill="1" applyBorder="1" applyAlignment="1">
      <alignment horizontal="center" vertical="top"/>
    </xf>
    <xf numFmtId="167" fontId="6" fillId="6" borderId="0" xfId="4" applyNumberFormat="1" applyFill="1" applyBorder="1" applyAlignment="1">
      <alignment horizontal="right" vertical="top" indent="1"/>
    </xf>
    <xf numFmtId="167" fontId="6" fillId="6" borderId="0" xfId="4" applyNumberFormat="1" applyFill="1" applyBorder="1" applyAlignment="1">
      <alignment horizontal="center" vertical="top"/>
    </xf>
    <xf numFmtId="167" fontId="6" fillId="6" borderId="10" xfId="4" applyNumberFormat="1" applyFill="1" applyBorder="1" applyAlignment="1">
      <alignment horizontal="center" vertical="top"/>
    </xf>
    <xf numFmtId="164" fontId="6" fillId="0" borderId="7" xfId="4" applyFill="1" applyBorder="1" applyAlignment="1">
      <alignment horizontal="center" vertical="top"/>
    </xf>
    <xf numFmtId="164" fontId="25" fillId="0" borderId="7" xfId="4" applyFont="1" applyFill="1" applyBorder="1" applyAlignment="1">
      <alignment horizontal="center" vertical="top"/>
    </xf>
    <xf numFmtId="165" fontId="6" fillId="6" borderId="15" xfId="4" applyNumberFormat="1" applyFill="1" applyBorder="1" applyAlignment="1">
      <alignment horizontal="center" vertical="top"/>
    </xf>
    <xf numFmtId="165" fontId="6" fillId="6" borderId="0" xfId="4" applyNumberFormat="1" applyFill="1" applyBorder="1" applyAlignment="1">
      <alignment horizontal="center" vertical="top"/>
    </xf>
    <xf numFmtId="171" fontId="6" fillId="0" borderId="13" xfId="12" applyFill="1" applyBorder="1" applyAlignment="1">
      <alignment horizontal="center" vertical="top"/>
    </xf>
    <xf numFmtId="171" fontId="6" fillId="0" borderId="10" xfId="12" applyFill="1" applyBorder="1" applyAlignment="1">
      <alignment horizontal="center" vertical="top"/>
    </xf>
    <xf numFmtId="167" fontId="6" fillId="6" borderId="13" xfId="4" applyNumberFormat="1" applyFill="1" applyBorder="1" applyAlignment="1">
      <alignment horizontal="right" vertical="top" indent="1"/>
    </xf>
    <xf numFmtId="167" fontId="6" fillId="6" borderId="10" xfId="4" applyNumberFormat="1" applyFill="1" applyBorder="1" applyAlignment="1">
      <alignment horizontal="right" vertical="top" indent="1"/>
    </xf>
    <xf numFmtId="164" fontId="6" fillId="24" borderId="7" xfId="4" applyFill="1" applyBorder="1" applyAlignment="1">
      <alignment horizontal="center" vertical="top"/>
    </xf>
    <xf numFmtId="167" fontId="6" fillId="24" borderId="0" xfId="4" applyNumberFormat="1" applyFill="1" applyBorder="1" applyAlignment="1">
      <alignment horizontal="right" vertical="top" indent="1"/>
    </xf>
    <xf numFmtId="167" fontId="6" fillId="0" borderId="15" xfId="4" applyNumberFormat="1" applyFill="1" applyBorder="1" applyAlignment="1">
      <alignment horizontal="center" vertical="top"/>
    </xf>
    <xf numFmtId="167" fontId="6" fillId="0" borderId="0" xfId="4" applyNumberFormat="1" applyFill="1" applyBorder="1" applyAlignment="1">
      <alignment horizontal="center" vertical="top"/>
    </xf>
    <xf numFmtId="167" fontId="6" fillId="17" borderId="15" xfId="4" applyNumberFormat="1" applyFill="1" applyBorder="1" applyAlignment="1">
      <alignment horizontal="right" vertical="top" indent="1"/>
    </xf>
    <xf numFmtId="167" fontId="6" fillId="17" borderId="0" xfId="4" applyNumberFormat="1" applyFill="1" applyBorder="1" applyAlignment="1">
      <alignment horizontal="right" vertical="top" indent="1"/>
    </xf>
    <xf numFmtId="0" fontId="18" fillId="14" borderId="20" xfId="0" applyFont="1" applyFill="1" applyBorder="1" applyAlignment="1">
      <alignment horizontal="center" vertical="center" wrapText="1"/>
    </xf>
    <xf numFmtId="0" fontId="18" fillId="14" borderId="2" xfId="0" applyFont="1" applyFill="1" applyBorder="1" applyAlignment="1">
      <alignment horizontal="center" vertical="center" wrapText="1"/>
    </xf>
    <xf numFmtId="0" fontId="18" fillId="14" borderId="12" xfId="0" applyFont="1" applyFill="1" applyBorder="1" applyAlignment="1">
      <alignment horizontal="center" vertical="center" wrapText="1"/>
    </xf>
    <xf numFmtId="167" fontId="6" fillId="6" borderId="21" xfId="4" applyNumberFormat="1" applyFill="1" applyBorder="1" applyAlignment="1">
      <alignment horizontal="center" vertical="top"/>
    </xf>
    <xf numFmtId="0" fontId="5" fillId="4" borderId="20" xfId="5" applyFill="1" applyBorder="1" applyAlignment="1">
      <alignment horizontal="right" vertical="top" wrapText="1"/>
    </xf>
    <xf numFmtId="0" fontId="5" fillId="4" borderId="2" xfId="5" applyFill="1" applyBorder="1" applyAlignment="1">
      <alignment horizontal="right" vertical="top" wrapText="1"/>
    </xf>
    <xf numFmtId="0" fontId="5" fillId="4" borderId="12" xfId="5" applyFill="1" applyBorder="1" applyAlignment="1">
      <alignment horizontal="right" vertical="top" wrapText="1"/>
    </xf>
    <xf numFmtId="169" fontId="6" fillId="0" borderId="2" xfId="4" applyNumberFormat="1" applyFill="1" applyBorder="1" applyAlignment="1">
      <alignment horizontal="center" vertical="top"/>
    </xf>
    <xf numFmtId="0" fontId="5" fillId="4" borderId="3" xfId="5" applyFill="1" applyBorder="1" applyAlignment="1">
      <alignment horizontal="center" vertical="top" wrapText="1"/>
    </xf>
    <xf numFmtId="0" fontId="0" fillId="0" borderId="6" xfId="0" applyBorder="1" applyAlignment="1"/>
    <xf numFmtId="0" fontId="0" fillId="0" borderId="23" xfId="0" applyBorder="1" applyAlignment="1"/>
    <xf numFmtId="0" fontId="0" fillId="0" borderId="23" xfId="0" applyBorder="1" applyAlignment="1">
      <alignment horizontal="center" vertical="top" wrapText="1"/>
    </xf>
    <xf numFmtId="0" fontId="0" fillId="0" borderId="6" xfId="0" applyBorder="1" applyAlignment="1">
      <alignment horizontal="center" vertical="top" wrapText="1"/>
    </xf>
    <xf numFmtId="0" fontId="18" fillId="10" borderId="1" xfId="0" applyFont="1" applyFill="1" applyBorder="1" applyAlignment="1">
      <alignment vertical="top" wrapText="1"/>
    </xf>
    <xf numFmtId="0" fontId="18" fillId="10" borderId="1" xfId="0" applyFont="1" applyFill="1" applyBorder="1" applyAlignment="1">
      <alignment horizontal="center" vertical="center" wrapText="1"/>
    </xf>
    <xf numFmtId="0" fontId="6" fillId="18" borderId="3" xfId="2" applyFont="1" applyFill="1" applyBorder="1" applyAlignment="1">
      <alignment horizontal="center" vertical="center"/>
    </xf>
    <xf numFmtId="0" fontId="6" fillId="18" borderId="23" xfId="2" applyFont="1" applyFill="1" applyBorder="1" applyAlignment="1">
      <alignment horizontal="center" vertical="center"/>
    </xf>
    <xf numFmtId="0" fontId="6" fillId="18" borderId="6" xfId="2" applyFont="1" applyFill="1" applyBorder="1" applyAlignment="1">
      <alignment horizontal="center" vertical="center"/>
    </xf>
    <xf numFmtId="0" fontId="5" fillId="18" borderId="3" xfId="5" applyFill="1" applyBorder="1" applyAlignment="1">
      <alignment horizontal="center" vertical="center"/>
    </xf>
    <xf numFmtId="0" fontId="5" fillId="18" borderId="23" xfId="5" applyFill="1" applyBorder="1" applyAlignment="1">
      <alignment horizontal="center" vertical="center"/>
    </xf>
    <xf numFmtId="0" fontId="5" fillId="18" borderId="6" xfId="5" applyFill="1" applyBorder="1" applyAlignment="1">
      <alignment horizontal="center" vertical="center"/>
    </xf>
  </cellXfs>
  <cellStyles count="13">
    <cellStyle name="Date" xfId="6"/>
    <cellStyle name="Heading: Col" xfId="5"/>
    <cellStyle name="Heading: Inline" xfId="3"/>
    <cellStyle name="Heading: Section" xfId="7"/>
    <cellStyle name="Heading: Sheet Banner" xfId="1"/>
    <cellStyle name="Heading: Tbl" xfId="8"/>
    <cellStyle name="Normal" xfId="0" builtinId="0"/>
    <cellStyle name="Normal 2" xfId="2"/>
    <cellStyle name="Number" xfId="4"/>
    <cellStyle name="Text" xfId="9"/>
    <cellStyle name="Text Small" xfId="10"/>
    <cellStyle name="Text Small Wrap" xfId="11"/>
    <cellStyle name="Year" xfId="12"/>
  </cellStyles>
  <dxfs count="0"/>
  <tableStyles count="0" defaultTableStyle="TableStyleMedium2" defaultPivotStyle="PivotStyleLight16"/>
  <colors>
    <mruColors>
      <color rgb="FFCCFFFF"/>
      <color rgb="FFFFCCCC"/>
      <color rgb="FF008000"/>
      <color rgb="FF009900"/>
      <color rgb="FF00CC66"/>
      <color rgb="FF66FF99"/>
      <color rgb="FFCCFFCC"/>
      <color rgb="FF99CC00"/>
      <color rgb="FF669900"/>
      <color rgb="FF33CC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effectLst/>
              </a:rPr>
              <a:t>Equlibrium Climate Sensitivity (ECS)</a:t>
            </a:r>
          </a:p>
          <a:p>
            <a:pPr>
              <a:defRPr sz="1000" b="1" i="0" u="none" strike="noStrike" baseline="0">
                <a:solidFill>
                  <a:srgbClr val="000000"/>
                </a:solidFill>
                <a:latin typeface="Arial"/>
                <a:ea typeface="Arial"/>
                <a:cs typeface="Arial"/>
              </a:defRPr>
            </a:pPr>
            <a:r>
              <a:rPr lang="en-US" sz="1000" b="1" i="0" u="none" strike="noStrike" baseline="0">
                <a:effectLst/>
              </a:rPr>
              <a:t>Surface Warming due to a Doubling of CO</a:t>
            </a:r>
            <a:r>
              <a:rPr lang="en-US" sz="1000" b="1" i="0" u="none" strike="noStrike" baseline="-25000">
                <a:effectLst/>
              </a:rPr>
              <a:t>2</a:t>
            </a:r>
            <a:r>
              <a:rPr lang="en-US" sz="1000" b="1" i="0" u="none" strike="noStrike" baseline="0">
                <a:effectLst/>
              </a:rPr>
              <a:t> (under Simplifying Assumptions)</a:t>
            </a:r>
            <a:r>
              <a:rPr lang="en-US" sz="1000" baseline="0"/>
              <a:t> </a:t>
            </a:r>
          </a:p>
        </c:rich>
      </c:tx>
      <c:layout>
        <c:manualLayout>
          <c:xMode val="edge"/>
          <c:yMode val="edge"/>
          <c:x val="0.12849350561948988"/>
          <c:y val="2.1711869349664626E-3"/>
        </c:manualLayout>
      </c:layout>
      <c:overlay val="0"/>
      <c:spPr>
        <a:noFill/>
        <a:ln w="25400">
          <a:noFill/>
        </a:ln>
      </c:spPr>
    </c:title>
    <c:autoTitleDeleted val="0"/>
    <c:plotArea>
      <c:layout>
        <c:manualLayout>
          <c:layoutTarget val="inner"/>
          <c:xMode val="edge"/>
          <c:yMode val="edge"/>
          <c:x val="9.6344303115956653E-2"/>
          <c:y val="8.773962282492466E-2"/>
          <c:w val="0.87746988357224576"/>
          <c:h val="0.75765613537438259"/>
        </c:manualLayout>
      </c:layout>
      <c:scatterChart>
        <c:scatterStyle val="lineMarker"/>
        <c:varyColors val="0"/>
        <c:ser>
          <c:idx val="1"/>
          <c:order val="0"/>
          <c:tx>
            <c:v>ECS, mu = 0.1</c:v>
          </c:tx>
          <c:spPr>
            <a:ln w="19050">
              <a:solidFill>
                <a:srgbClr val="FF0000"/>
              </a:solidFill>
              <a:prstDash val="solid"/>
            </a:ln>
          </c:spPr>
          <c:marker>
            <c:symbol val="none"/>
          </c:marker>
          <c:xVal>
            <c:numRef>
              <c:f>'Alternative Model'!$A$45:$A$54</c:f>
              <c:numCache>
                <c:formatCode>#,##0;[Red]\-#,##0</c:formatCode>
                <c:ptCount val="10"/>
                <c:pt idx="0">
                  <c:v>-426</c:v>
                </c:pt>
                <c:pt idx="1">
                  <c:v>-400</c:v>
                </c:pt>
                <c:pt idx="2">
                  <c:v>-200</c:v>
                </c:pt>
                <c:pt idx="3">
                  <c:v>0</c:v>
                </c:pt>
                <c:pt idx="4">
                  <c:v>200</c:v>
                </c:pt>
                <c:pt idx="5">
                  <c:v>400</c:v>
                </c:pt>
                <c:pt idx="6">
                  <c:v>600</c:v>
                </c:pt>
                <c:pt idx="7">
                  <c:v>800</c:v>
                </c:pt>
                <c:pt idx="8">
                  <c:v>1000</c:v>
                </c:pt>
                <c:pt idx="9">
                  <c:v>1200</c:v>
                </c:pt>
              </c:numCache>
            </c:numRef>
          </c:xVal>
          <c:yVal>
            <c:numRef>
              <c:f>'Alternative Model'!$B$45:$B$54</c:f>
              <c:numCache>
                <c:formatCode>#,##0.000;[Red]\-#,##0.000</c:formatCode>
                <c:ptCount val="10"/>
                <c:pt idx="0">
                  <c:v>-3.3029252131418284E-4</c:v>
                </c:pt>
                <c:pt idx="1">
                  <c:v>1.4476996207979416E-2</c:v>
                </c:pt>
                <c:pt idx="2">
                  <c:v>0.12837921720254536</c:v>
                </c:pt>
                <c:pt idx="3">
                  <c:v>0.24228143819711132</c:v>
                </c:pt>
                <c:pt idx="4">
                  <c:v>0.35618365919167727</c:v>
                </c:pt>
                <c:pt idx="5">
                  <c:v>0.4700858801862432</c:v>
                </c:pt>
                <c:pt idx="6">
                  <c:v>0.58398810118080913</c:v>
                </c:pt>
                <c:pt idx="7">
                  <c:v>0.69789032217537506</c:v>
                </c:pt>
                <c:pt idx="8">
                  <c:v>0.81179254316994098</c:v>
                </c:pt>
                <c:pt idx="9">
                  <c:v>0.92569476416450691</c:v>
                </c:pt>
              </c:numCache>
            </c:numRef>
          </c:yVal>
          <c:smooth val="0"/>
        </c:ser>
        <c:ser>
          <c:idx val="0"/>
          <c:order val="1"/>
          <c:tx>
            <c:v>ECS, mu = 0.25</c:v>
          </c:tx>
          <c:spPr>
            <a:ln w="19050">
              <a:solidFill>
                <a:schemeClr val="accent6">
                  <a:lumMod val="75000"/>
                </a:schemeClr>
              </a:solidFill>
            </a:ln>
          </c:spPr>
          <c:marker>
            <c:symbol val="none"/>
          </c:marker>
          <c:xVal>
            <c:numRef>
              <c:f>'Alternative Model'!$A$45:$A$54</c:f>
              <c:numCache>
                <c:formatCode>#,##0;[Red]\-#,##0</c:formatCode>
                <c:ptCount val="10"/>
                <c:pt idx="0">
                  <c:v>-426</c:v>
                </c:pt>
                <c:pt idx="1">
                  <c:v>-400</c:v>
                </c:pt>
                <c:pt idx="2">
                  <c:v>-200</c:v>
                </c:pt>
                <c:pt idx="3">
                  <c:v>0</c:v>
                </c:pt>
                <c:pt idx="4">
                  <c:v>200</c:v>
                </c:pt>
                <c:pt idx="5">
                  <c:v>400</c:v>
                </c:pt>
                <c:pt idx="6">
                  <c:v>600</c:v>
                </c:pt>
                <c:pt idx="7">
                  <c:v>800</c:v>
                </c:pt>
                <c:pt idx="8">
                  <c:v>1000</c:v>
                </c:pt>
                <c:pt idx="9">
                  <c:v>1200</c:v>
                </c:pt>
              </c:numCache>
            </c:numRef>
          </c:xVal>
          <c:yVal>
            <c:numRef>
              <c:f>'Alternative Model'!$C$45:$C$54</c:f>
              <c:numCache>
                <c:formatCode>#,##0.000;[Red]\-#,##0.000</c:formatCode>
                <c:ptCount val="10"/>
                <c:pt idx="0">
                  <c:v>-5.884292184898303E-4</c:v>
                </c:pt>
                <c:pt idx="1">
                  <c:v>2.5791342567633761E-2</c:v>
                </c:pt>
                <c:pt idx="2">
                  <c:v>0.22871266399935333</c:v>
                </c:pt>
                <c:pt idx="3">
                  <c:v>0.4316339854310729</c:v>
                </c:pt>
                <c:pt idx="4">
                  <c:v>0.63455530686279249</c:v>
                </c:pt>
                <c:pt idx="5">
                  <c:v>0.83747662829451208</c:v>
                </c:pt>
                <c:pt idx="6">
                  <c:v>1.0403979497262315</c:v>
                </c:pt>
                <c:pt idx="7">
                  <c:v>1.243319271157951</c:v>
                </c:pt>
                <c:pt idx="8">
                  <c:v>1.4462405925896706</c:v>
                </c:pt>
                <c:pt idx="9">
                  <c:v>1.6491619140213902</c:v>
                </c:pt>
              </c:numCache>
            </c:numRef>
          </c:yVal>
          <c:smooth val="0"/>
        </c:ser>
        <c:ser>
          <c:idx val="2"/>
          <c:order val="2"/>
          <c:tx>
            <c:v>ECS, mu = 0.5</c:v>
          </c:tx>
          <c:spPr>
            <a:ln w="19050">
              <a:solidFill>
                <a:schemeClr val="bg1">
                  <a:lumMod val="75000"/>
                </a:schemeClr>
              </a:solidFill>
            </a:ln>
          </c:spPr>
          <c:marker>
            <c:symbol val="none"/>
          </c:marker>
          <c:xVal>
            <c:numRef>
              <c:f>'Alternative Model'!$A$45:$A$54</c:f>
              <c:numCache>
                <c:formatCode>#,##0;[Red]\-#,##0</c:formatCode>
                <c:ptCount val="10"/>
                <c:pt idx="0">
                  <c:v>-426</c:v>
                </c:pt>
                <c:pt idx="1">
                  <c:v>-400</c:v>
                </c:pt>
                <c:pt idx="2">
                  <c:v>-200</c:v>
                </c:pt>
                <c:pt idx="3">
                  <c:v>0</c:v>
                </c:pt>
                <c:pt idx="4">
                  <c:v>200</c:v>
                </c:pt>
                <c:pt idx="5">
                  <c:v>400</c:v>
                </c:pt>
                <c:pt idx="6">
                  <c:v>600</c:v>
                </c:pt>
                <c:pt idx="7">
                  <c:v>800</c:v>
                </c:pt>
                <c:pt idx="8">
                  <c:v>1000</c:v>
                </c:pt>
                <c:pt idx="9">
                  <c:v>1200</c:v>
                </c:pt>
              </c:numCache>
            </c:numRef>
          </c:xVal>
          <c:yVal>
            <c:numRef>
              <c:f>'Alternative Model'!$D$45:$D$54</c:f>
              <c:numCache>
                <c:formatCode>#,##0.000;[Red]\-#,##0.000</c:formatCode>
                <c:ptCount val="10"/>
                <c:pt idx="0">
                  <c:v>-1.1079939163061183E-3</c:v>
                </c:pt>
                <c:pt idx="1">
                  <c:v>4.8564295858124704E-2</c:v>
                </c:pt>
                <c:pt idx="2">
                  <c:v>0.43065883258451498</c:v>
                </c:pt>
                <c:pt idx="3">
                  <c:v>0.81275336931090525</c:v>
                </c:pt>
                <c:pt idx="4">
                  <c:v>1.1948479060372956</c:v>
                </c:pt>
                <c:pt idx="5">
                  <c:v>1.5769424427636858</c:v>
                </c:pt>
                <c:pt idx="6">
                  <c:v>1.9590369794900759</c:v>
                </c:pt>
                <c:pt idx="7">
                  <c:v>2.3411315162164663</c:v>
                </c:pt>
                <c:pt idx="8">
                  <c:v>2.7232260529428562</c:v>
                </c:pt>
                <c:pt idx="9">
                  <c:v>3.1053205896692466</c:v>
                </c:pt>
              </c:numCache>
            </c:numRef>
          </c:yVal>
          <c:smooth val="0"/>
        </c:ser>
        <c:ser>
          <c:idx val="3"/>
          <c:order val="3"/>
          <c:tx>
            <c:v>ECS, mu = 0.8</c:v>
          </c:tx>
          <c:spPr>
            <a:ln w="19050">
              <a:solidFill>
                <a:srgbClr val="00CC66"/>
              </a:solidFill>
            </a:ln>
          </c:spPr>
          <c:marker>
            <c:symbol val="none"/>
          </c:marker>
          <c:xVal>
            <c:numRef>
              <c:f>'Alternative Model'!$A$45:$A$54</c:f>
              <c:numCache>
                <c:formatCode>#,##0;[Red]\-#,##0</c:formatCode>
                <c:ptCount val="10"/>
                <c:pt idx="0">
                  <c:v>-426</c:v>
                </c:pt>
                <c:pt idx="1">
                  <c:v>-400</c:v>
                </c:pt>
                <c:pt idx="2">
                  <c:v>-200</c:v>
                </c:pt>
                <c:pt idx="3">
                  <c:v>0</c:v>
                </c:pt>
                <c:pt idx="4">
                  <c:v>200</c:v>
                </c:pt>
                <c:pt idx="5">
                  <c:v>400</c:v>
                </c:pt>
                <c:pt idx="6">
                  <c:v>600</c:v>
                </c:pt>
                <c:pt idx="7">
                  <c:v>800</c:v>
                </c:pt>
                <c:pt idx="8">
                  <c:v>1000</c:v>
                </c:pt>
                <c:pt idx="9">
                  <c:v>1200</c:v>
                </c:pt>
              </c:numCache>
            </c:numRef>
          </c:xVal>
          <c:yVal>
            <c:numRef>
              <c:f>'Alternative Model'!$E$45:$E$54</c:f>
              <c:numCache>
                <c:formatCode>#,##0.000;[Red]\-#,##0.000</c:formatCode>
                <c:ptCount val="10"/>
                <c:pt idx="0">
                  <c:v>-1.4218580175490352E-3</c:v>
                </c:pt>
                <c:pt idx="1">
                  <c:v>6.2321220736215981E-2</c:v>
                </c:pt>
                <c:pt idx="2">
                  <c:v>0.55265259576517678</c:v>
                </c:pt>
                <c:pt idx="3">
                  <c:v>1.0429839707941377</c:v>
                </c:pt>
                <c:pt idx="4">
                  <c:v>1.5333153458230984</c:v>
                </c:pt>
                <c:pt idx="5">
                  <c:v>2.0236467208520592</c:v>
                </c:pt>
                <c:pt idx="6">
                  <c:v>2.5139780958810198</c:v>
                </c:pt>
                <c:pt idx="7">
                  <c:v>3.0043094709099805</c:v>
                </c:pt>
                <c:pt idx="8">
                  <c:v>3.4946408459389415</c:v>
                </c:pt>
                <c:pt idx="9">
                  <c:v>3.9849722209679022</c:v>
                </c:pt>
              </c:numCache>
            </c:numRef>
          </c:yVal>
          <c:smooth val="0"/>
        </c:ser>
        <c:ser>
          <c:idx val="4"/>
          <c:order val="4"/>
          <c:tx>
            <c:v>ECS, mu = 1.0</c:v>
          </c:tx>
          <c:spPr>
            <a:ln w="19050">
              <a:solidFill>
                <a:srgbClr val="808000"/>
              </a:solidFill>
            </a:ln>
          </c:spPr>
          <c:marker>
            <c:symbol val="none"/>
          </c:marker>
          <c:xVal>
            <c:numRef>
              <c:f>'Alternative Model'!$A$45:$A$54</c:f>
              <c:numCache>
                <c:formatCode>#,##0;[Red]\-#,##0</c:formatCode>
                <c:ptCount val="10"/>
                <c:pt idx="0">
                  <c:v>-426</c:v>
                </c:pt>
                <c:pt idx="1">
                  <c:v>-400</c:v>
                </c:pt>
                <c:pt idx="2">
                  <c:v>-200</c:v>
                </c:pt>
                <c:pt idx="3">
                  <c:v>0</c:v>
                </c:pt>
                <c:pt idx="4">
                  <c:v>200</c:v>
                </c:pt>
                <c:pt idx="5">
                  <c:v>400</c:v>
                </c:pt>
                <c:pt idx="6">
                  <c:v>600</c:v>
                </c:pt>
                <c:pt idx="7">
                  <c:v>800</c:v>
                </c:pt>
                <c:pt idx="8">
                  <c:v>1000</c:v>
                </c:pt>
                <c:pt idx="9">
                  <c:v>1200</c:v>
                </c:pt>
              </c:numCache>
            </c:numRef>
          </c:xVal>
          <c:yVal>
            <c:numRef>
              <c:f>'Alternative Model'!$F$45:$F$54</c:f>
              <c:numCache>
                <c:formatCode>#,##0.000;[Red]\-#,##0.000</c:formatCode>
                <c:ptCount val="10"/>
                <c:pt idx="0">
                  <c:v>-1.5701147440320335E-3</c:v>
                </c:pt>
                <c:pt idx="1">
                  <c:v>6.8819436495270919E-2</c:v>
                </c:pt>
                <c:pt idx="2">
                  <c:v>0.61027752295144655</c:v>
                </c:pt>
                <c:pt idx="3">
                  <c:v>1.1517356094076221</c:v>
                </c:pt>
                <c:pt idx="4">
                  <c:v>1.6931936958637976</c:v>
                </c:pt>
                <c:pt idx="5">
                  <c:v>2.2346517823199732</c:v>
                </c:pt>
                <c:pt idx="6">
                  <c:v>2.7761098687761487</c:v>
                </c:pt>
                <c:pt idx="7">
                  <c:v>3.3175679552323243</c:v>
                </c:pt>
                <c:pt idx="8">
                  <c:v>3.8590260416884998</c:v>
                </c:pt>
                <c:pt idx="9">
                  <c:v>4.4004841281446749</c:v>
                </c:pt>
              </c:numCache>
            </c:numRef>
          </c:yVal>
          <c:smooth val="0"/>
        </c:ser>
        <c:dLbls>
          <c:showLegendKey val="0"/>
          <c:showVal val="0"/>
          <c:showCatName val="0"/>
          <c:showSerName val="0"/>
          <c:showPercent val="0"/>
          <c:showBubbleSize val="0"/>
        </c:dLbls>
        <c:axId val="65709184"/>
        <c:axId val="65711104"/>
      </c:scatterChart>
      <c:valAx>
        <c:axId val="65709184"/>
        <c:scaling>
          <c:orientation val="minMax"/>
          <c:max val="1000"/>
          <c:min val="-600"/>
        </c:scaling>
        <c:delete val="0"/>
        <c:axPos val="b"/>
        <c:majorGridlines>
          <c:spPr>
            <a:ln w="3175">
              <a:solidFill>
                <a:schemeClr val="bg1">
                  <a:lumMod val="75000"/>
                </a:schemeClr>
              </a:solidFill>
              <a:prstDash val="sysDash"/>
            </a:ln>
          </c:spPr>
        </c:majorGridlines>
        <c:minorGridlines>
          <c:spPr>
            <a:ln>
              <a:noFill/>
            </a:ln>
          </c:spPr>
        </c:minorGridlines>
        <c:title>
          <c:tx>
            <c:rich>
              <a:bodyPr/>
              <a:lstStyle/>
              <a:p>
                <a:pPr>
                  <a:defRPr sz="1000"/>
                </a:pPr>
                <a:r>
                  <a:rPr lang="en-US" sz="1000"/>
                  <a:t>Ascent</a:t>
                </a:r>
                <a:r>
                  <a:rPr lang="en-US" sz="1000" baseline="0"/>
                  <a:t> of the Water Vapor Emissions Layer (WVEL), </a:t>
                </a:r>
                <a:r>
                  <a:rPr lang="el-GR" sz="1000" baseline="0"/>
                  <a:t>Δ</a:t>
                </a:r>
                <a:r>
                  <a:rPr lang="en-US" sz="1000" i="1" baseline="0"/>
                  <a:t>h</a:t>
                </a:r>
                <a:r>
                  <a:rPr lang="en-US" sz="1000" i="0" baseline="-25000"/>
                  <a:t>W</a:t>
                </a:r>
                <a:r>
                  <a:rPr lang="en-US" sz="1000" baseline="0"/>
                  <a:t> (m)</a:t>
                </a:r>
                <a:endParaRPr lang="en-US" sz="1000"/>
              </a:p>
            </c:rich>
          </c:tx>
          <c:layout>
            <c:manualLayout>
              <c:xMode val="edge"/>
              <c:yMode val="edge"/>
              <c:x val="0.22989908661417321"/>
              <c:y val="0.95370370370370372"/>
            </c:manualLayout>
          </c:layout>
          <c:overlay val="0"/>
        </c:title>
        <c:numFmt formatCode="#,##0;[Red]\-#,##0" sourceLinked="0"/>
        <c:majorTickMark val="out"/>
        <c:minorTickMark val="in"/>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5711104"/>
        <c:crossesAt val="-100"/>
        <c:crossBetween val="midCat"/>
        <c:majorUnit val="200"/>
        <c:minorUnit val="100"/>
      </c:valAx>
      <c:valAx>
        <c:axId val="65711104"/>
        <c:scaling>
          <c:orientation val="minMax"/>
          <c:max val="4"/>
          <c:min val="0"/>
        </c:scaling>
        <c:delete val="0"/>
        <c:axPos val="l"/>
        <c:majorGridlines>
          <c:spPr>
            <a:ln w="3175">
              <a:solidFill>
                <a:schemeClr val="bg1">
                  <a:lumMod val="75000"/>
                </a:schemeClr>
              </a:solidFill>
              <a:prstDash val="sysDash"/>
            </a:ln>
          </c:spPr>
        </c:majorGridlines>
        <c:minorGridlines>
          <c:spPr>
            <a:ln>
              <a:noFill/>
            </a:ln>
          </c:spPr>
        </c:minorGridlines>
        <c:title>
          <c:tx>
            <c:rich>
              <a:bodyPr/>
              <a:lstStyle/>
              <a:p>
                <a:pPr>
                  <a:defRPr sz="1000" b="0" i="0" u="none" strike="noStrike" baseline="0">
                    <a:solidFill>
                      <a:srgbClr val="000000"/>
                    </a:solidFill>
                    <a:latin typeface="Arial"/>
                    <a:ea typeface="Arial"/>
                    <a:cs typeface="Arial"/>
                  </a:defRPr>
                </a:pPr>
                <a:r>
                  <a:rPr lang="en-US" sz="1000" b="0"/>
                  <a:t>ECS  </a:t>
                </a:r>
                <a:r>
                  <a:rPr lang="en-US" sz="1000" b="0" baseline="0"/>
                  <a:t>(°C)</a:t>
                </a:r>
                <a:endParaRPr lang="en-US" sz="1000" b="0"/>
              </a:p>
            </c:rich>
          </c:tx>
          <c:layout>
            <c:manualLayout>
              <c:xMode val="edge"/>
              <c:yMode val="edge"/>
              <c:x val="1.1258667293453991E-3"/>
              <c:y val="0.38861200735374657"/>
            </c:manualLayout>
          </c:layout>
          <c:overlay val="0"/>
          <c:spPr>
            <a:noFill/>
            <a:ln w="25400">
              <a:noFill/>
            </a:ln>
          </c:spPr>
        </c:title>
        <c:numFmt formatCode="#,##0.0;[Red]\-#,##0.0" sourceLinked="0"/>
        <c:majorTickMark val="out"/>
        <c:minorTickMark val="in"/>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5709184"/>
        <c:crossesAt val="-99999999"/>
        <c:crossBetween val="midCat"/>
        <c:majorUnit val="0.5"/>
        <c:minorUnit val="0.1"/>
      </c:valAx>
      <c:spPr>
        <a:solidFill>
          <a:srgbClr val="FFFFFF"/>
        </a:solidFill>
        <a:ln w="12700">
          <a:solidFill>
            <a:srgbClr val="808080"/>
          </a:solidFill>
          <a:prstDash val="solid"/>
        </a:ln>
      </c:spPr>
    </c:plotArea>
    <c:plotVisOnly val="1"/>
    <c:dispBlanksAs val="gap"/>
    <c:showDLblsOverMax val="0"/>
  </c:chart>
  <c:spPr>
    <a:solidFill>
      <a:srgbClr val="FFFFFF"/>
    </a:solidFill>
    <a:ln w="3175">
      <a:no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6" Type="http://schemas.openxmlformats.org/officeDocument/2006/relationships/image" Target="../media/image16.e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24.emf"/><Relationship Id="rId3" Type="http://schemas.openxmlformats.org/officeDocument/2006/relationships/image" Target="../media/image19.emf"/><Relationship Id="rId7" Type="http://schemas.openxmlformats.org/officeDocument/2006/relationships/image" Target="../media/image23.emf"/><Relationship Id="rId12" Type="http://schemas.openxmlformats.org/officeDocument/2006/relationships/image" Target="../media/image28.emf"/><Relationship Id="rId2" Type="http://schemas.openxmlformats.org/officeDocument/2006/relationships/image" Target="../media/image18.emf"/><Relationship Id="rId1" Type="http://schemas.openxmlformats.org/officeDocument/2006/relationships/image" Target="../media/image17.emf"/><Relationship Id="rId6" Type="http://schemas.openxmlformats.org/officeDocument/2006/relationships/image" Target="../media/image22.emf"/><Relationship Id="rId11" Type="http://schemas.openxmlformats.org/officeDocument/2006/relationships/image" Target="../media/image27.emf"/><Relationship Id="rId5" Type="http://schemas.openxmlformats.org/officeDocument/2006/relationships/image" Target="../media/image21.emf"/><Relationship Id="rId10" Type="http://schemas.openxmlformats.org/officeDocument/2006/relationships/image" Target="../media/image26.emf"/><Relationship Id="rId4" Type="http://schemas.openxmlformats.org/officeDocument/2006/relationships/image" Target="../media/image20.emf"/><Relationship Id="rId9" Type="http://schemas.openxmlformats.org/officeDocument/2006/relationships/image" Target="../media/image25.e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36.emf"/><Relationship Id="rId13" Type="http://schemas.openxmlformats.org/officeDocument/2006/relationships/image" Target="../media/image41.emf"/><Relationship Id="rId18" Type="http://schemas.openxmlformats.org/officeDocument/2006/relationships/image" Target="../media/image46.emf"/><Relationship Id="rId26" Type="http://schemas.openxmlformats.org/officeDocument/2006/relationships/image" Target="../media/image54.emf"/><Relationship Id="rId3" Type="http://schemas.openxmlformats.org/officeDocument/2006/relationships/image" Target="../media/image31.emf"/><Relationship Id="rId21" Type="http://schemas.openxmlformats.org/officeDocument/2006/relationships/image" Target="../media/image49.emf"/><Relationship Id="rId34" Type="http://schemas.openxmlformats.org/officeDocument/2006/relationships/image" Target="../media/image62.emf"/><Relationship Id="rId7" Type="http://schemas.openxmlformats.org/officeDocument/2006/relationships/image" Target="../media/image35.emf"/><Relationship Id="rId12" Type="http://schemas.openxmlformats.org/officeDocument/2006/relationships/image" Target="../media/image40.emf"/><Relationship Id="rId17" Type="http://schemas.openxmlformats.org/officeDocument/2006/relationships/image" Target="../media/image45.emf"/><Relationship Id="rId25" Type="http://schemas.openxmlformats.org/officeDocument/2006/relationships/image" Target="../media/image53.emf"/><Relationship Id="rId33" Type="http://schemas.openxmlformats.org/officeDocument/2006/relationships/image" Target="../media/image61.emf"/><Relationship Id="rId2" Type="http://schemas.openxmlformats.org/officeDocument/2006/relationships/image" Target="../media/image30.emf"/><Relationship Id="rId16" Type="http://schemas.openxmlformats.org/officeDocument/2006/relationships/image" Target="../media/image44.emf"/><Relationship Id="rId20" Type="http://schemas.openxmlformats.org/officeDocument/2006/relationships/image" Target="../media/image48.emf"/><Relationship Id="rId29" Type="http://schemas.openxmlformats.org/officeDocument/2006/relationships/image" Target="../media/image57.emf"/><Relationship Id="rId1" Type="http://schemas.openxmlformats.org/officeDocument/2006/relationships/image" Target="../media/image29.emf"/><Relationship Id="rId6" Type="http://schemas.openxmlformats.org/officeDocument/2006/relationships/image" Target="../media/image34.emf"/><Relationship Id="rId11" Type="http://schemas.openxmlformats.org/officeDocument/2006/relationships/image" Target="../media/image39.emf"/><Relationship Id="rId24" Type="http://schemas.openxmlformats.org/officeDocument/2006/relationships/image" Target="../media/image52.emf"/><Relationship Id="rId32" Type="http://schemas.openxmlformats.org/officeDocument/2006/relationships/image" Target="../media/image60.emf"/><Relationship Id="rId5" Type="http://schemas.openxmlformats.org/officeDocument/2006/relationships/image" Target="../media/image33.emf"/><Relationship Id="rId15" Type="http://schemas.openxmlformats.org/officeDocument/2006/relationships/image" Target="../media/image43.emf"/><Relationship Id="rId23" Type="http://schemas.openxmlformats.org/officeDocument/2006/relationships/image" Target="../media/image51.emf"/><Relationship Id="rId28" Type="http://schemas.openxmlformats.org/officeDocument/2006/relationships/image" Target="../media/image56.emf"/><Relationship Id="rId10" Type="http://schemas.openxmlformats.org/officeDocument/2006/relationships/image" Target="../media/image38.emf"/><Relationship Id="rId19" Type="http://schemas.openxmlformats.org/officeDocument/2006/relationships/image" Target="../media/image47.emf"/><Relationship Id="rId31" Type="http://schemas.openxmlformats.org/officeDocument/2006/relationships/image" Target="../media/image59.emf"/><Relationship Id="rId4" Type="http://schemas.openxmlformats.org/officeDocument/2006/relationships/image" Target="../media/image32.emf"/><Relationship Id="rId9" Type="http://schemas.openxmlformats.org/officeDocument/2006/relationships/image" Target="../media/image37.emf"/><Relationship Id="rId14" Type="http://schemas.openxmlformats.org/officeDocument/2006/relationships/image" Target="../media/image42.emf"/><Relationship Id="rId22" Type="http://schemas.openxmlformats.org/officeDocument/2006/relationships/image" Target="../media/image50.emf"/><Relationship Id="rId27" Type="http://schemas.openxmlformats.org/officeDocument/2006/relationships/image" Target="../media/image55.emf"/><Relationship Id="rId30" Type="http://schemas.openxmlformats.org/officeDocument/2006/relationships/image" Target="../media/image58.emf"/><Relationship Id="rId35" Type="http://schemas.openxmlformats.org/officeDocument/2006/relationships/image" Target="../media/image63.emf"/></Relationships>
</file>

<file path=xl/drawings/drawing1.xml><?xml version="1.0" encoding="utf-8"?>
<xdr:wsDr xmlns:xdr="http://schemas.openxmlformats.org/drawingml/2006/spreadsheetDrawing" xmlns:a="http://schemas.openxmlformats.org/drawingml/2006/main">
  <xdr:twoCellAnchor>
    <xdr:from>
      <xdr:col>0</xdr:col>
      <xdr:colOff>47625</xdr:colOff>
      <xdr:row>1</xdr:row>
      <xdr:rowOff>47625</xdr:rowOff>
    </xdr:from>
    <xdr:to>
      <xdr:col>8</xdr:col>
      <xdr:colOff>171450</xdr:colOff>
      <xdr:row>8</xdr:row>
      <xdr:rowOff>123825</xdr:rowOff>
    </xdr:to>
    <xdr:sp macro="" textlink="">
      <xdr:nvSpPr>
        <xdr:cNvPr id="2" name="Text ClimateModels"/>
        <xdr:cNvSpPr txBox="1">
          <a:spLocks noChangeArrowheads="1"/>
        </xdr:cNvSpPr>
      </xdr:nvSpPr>
      <xdr:spPr bwMode="auto">
        <a:xfrm>
          <a:off x="47625" y="342900"/>
          <a:ext cx="6267450" cy="838200"/>
        </a:xfrm>
        <a:prstGeom prst="rect">
          <a:avLst/>
        </a:prstGeom>
        <a:solidFill>
          <a:srgbClr val="CCFFCC"/>
        </a:solidFill>
        <a:ln w="9525">
          <a:solidFill>
            <a:srgbClr val="000000"/>
          </a:solidFill>
          <a:miter lim="800000"/>
          <a:headEnd/>
          <a:tailEnd/>
        </a:ln>
      </xdr:spPr>
      <xdr:txBody>
        <a:bodyPr vertOverflow="clip" wrap="square" lIns="36576" tIns="27432" rIns="0" bIns="0" anchor="t"/>
        <a:lstStyle/>
        <a:p>
          <a:pPr algn="l" rtl="0">
            <a:defRPr sz="1000"/>
          </a:pPr>
          <a:r>
            <a:rPr lang="en-US" sz="1200" b="0" i="0" u="none" strike="noStrike" baseline="0">
              <a:solidFill>
                <a:srgbClr val="000000"/>
              </a:solidFill>
              <a:latin typeface="+mn-lt"/>
              <a:cs typeface="Arial"/>
            </a:rPr>
            <a:t>This spreadsheet file is part of the Supplementary Information for the paper</a:t>
          </a:r>
        </a:p>
        <a:p>
          <a:pPr algn="l" rtl="0">
            <a:defRPr sz="1000"/>
          </a:pPr>
          <a:r>
            <a:rPr lang="en-US" sz="1200" b="0" i="0" u="none" strike="noStrike" baseline="0">
              <a:solidFill>
                <a:srgbClr val="000000"/>
              </a:solidFill>
              <a:latin typeface="+mn-lt"/>
              <a:cs typeface="Arial"/>
            </a:rPr>
            <a:t>  "Correcting Problems with the Conventional Basic Calculation of Climate Sensitivity"</a:t>
          </a:r>
        </a:p>
        <a:p>
          <a:pPr algn="l" rtl="0">
            <a:defRPr sz="1000"/>
          </a:pPr>
          <a:r>
            <a:rPr lang="en-US" sz="1200" b="0" i="0" u="none" strike="noStrike" baseline="0">
              <a:solidFill>
                <a:srgbClr val="000000"/>
              </a:solidFill>
              <a:latin typeface="+mn-lt"/>
              <a:cs typeface="Arial"/>
            </a:rPr>
            <a:t>by Dr David M. W. Evans (david.evans@sciencespeak.com, http://sciencespeak.com/).</a:t>
          </a:r>
        </a:p>
        <a:p>
          <a:pPr algn="l" rtl="0">
            <a:defRPr sz="1000"/>
          </a:pPr>
          <a:endParaRPr lang="en-US" sz="1200" b="0" i="0" u="none" strike="noStrike" baseline="0">
            <a:solidFill>
              <a:srgbClr val="000000"/>
            </a:solidFill>
            <a:latin typeface="+mn-lt"/>
            <a:cs typeface="Arial"/>
          </a:endParaRPr>
        </a:p>
        <a:p>
          <a:pPr algn="l" rtl="0">
            <a:defRPr sz="1000"/>
          </a:pPr>
          <a:r>
            <a:rPr lang="en-US" sz="1200" b="0" i="0" u="none" strike="noStrike" baseline="0">
              <a:solidFill>
                <a:srgbClr val="000000"/>
              </a:solidFill>
              <a:latin typeface="+mn-lt"/>
              <a:cs typeface="Arial"/>
            </a:rPr>
            <a:t>Version: 1.01,  11 Sep 2015</a:t>
          </a:r>
        </a:p>
        <a:p>
          <a:pPr algn="l" rtl="0">
            <a:defRPr sz="1000"/>
          </a:pPr>
          <a:endParaRPr lang="en-US" sz="1200" b="0" i="0" u="none" strike="noStrike" baseline="0">
            <a:solidFill>
              <a:srgbClr val="000000"/>
            </a:solidFill>
            <a:latin typeface="+mn-lt"/>
            <a:cs typeface="Arial"/>
          </a:endParaRPr>
        </a:p>
        <a:p>
          <a:pPr algn="l" rtl="0">
            <a:defRPr sz="1000"/>
          </a:pPr>
          <a:endParaRPr lang="en-US" sz="1200" b="0" i="0" u="none" strike="noStrike" baseline="0">
            <a:solidFill>
              <a:srgbClr val="000000"/>
            </a:solidFill>
            <a:latin typeface="+mn-lt"/>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47625</xdr:colOff>
      <xdr:row>9</xdr:row>
      <xdr:rowOff>28573</xdr:rowOff>
    </xdr:from>
    <xdr:to>
      <xdr:col>10</xdr:col>
      <xdr:colOff>581024</xdr:colOff>
      <xdr:row>13</xdr:row>
      <xdr:rowOff>57150</xdr:rowOff>
    </xdr:to>
    <xdr:sp macro="" textlink="">
      <xdr:nvSpPr>
        <xdr:cNvPr id="2" name="Text ClimateModels"/>
        <xdr:cNvSpPr txBox="1">
          <a:spLocks noChangeArrowheads="1"/>
        </xdr:cNvSpPr>
      </xdr:nvSpPr>
      <xdr:spPr bwMode="auto">
        <a:xfrm>
          <a:off x="3495675" y="1714498"/>
          <a:ext cx="4895849" cy="638177"/>
        </a:xfrm>
        <a:prstGeom prst="rect">
          <a:avLst/>
        </a:prstGeom>
        <a:solidFill>
          <a:srgbClr val="FFCC99"/>
        </a:solidFill>
        <a:ln w="9525">
          <a:solidFill>
            <a:srgbClr val="000000"/>
          </a:solidFill>
          <a:miter lim="800000"/>
          <a:headEnd/>
          <a:tailEnd/>
        </a:ln>
      </xdr:spPr>
      <xdr:txBody>
        <a:bodyPr vertOverflow="clip" wrap="square" lIns="36576" tIns="27432" rIns="0" bIns="0" anchor="t"/>
        <a:lstStyle/>
        <a:p>
          <a:pPr algn="l" rtl="0">
            <a:defRPr sz="1000"/>
          </a:pPr>
          <a:r>
            <a:rPr lang="en-US" sz="1200" b="0" i="0" u="none" strike="noStrike" baseline="0">
              <a:solidFill>
                <a:srgbClr val="000000"/>
              </a:solidFill>
              <a:latin typeface="+mn-lt"/>
              <a:cs typeface="Arial"/>
            </a:rPr>
            <a:t>The numbers in the white cells are the areas of rectangles used to estimate areas under curves in a Nimbus diagram, in arbitrary units, as generated by the drawing program used to draw over the Nimbus diagram.</a:t>
          </a:r>
        </a:p>
      </xdr:txBody>
    </xdr:sp>
    <xdr:clientData/>
  </xdr:twoCellAnchor>
  <mc:AlternateContent xmlns:mc="http://schemas.openxmlformats.org/markup-compatibility/2006">
    <mc:Choice xmlns:a14="http://schemas.microsoft.com/office/drawing/2010/main" Requires="a14">
      <xdr:twoCellAnchor>
        <xdr:from>
          <xdr:col>2</xdr:col>
          <xdr:colOff>333375</xdr:colOff>
          <xdr:row>77</xdr:row>
          <xdr:rowOff>0</xdr:rowOff>
        </xdr:from>
        <xdr:to>
          <xdr:col>2</xdr:col>
          <xdr:colOff>457200</xdr:colOff>
          <xdr:row>78</xdr:row>
          <xdr:rowOff>0</xdr:rowOff>
        </xdr:to>
        <xdr:sp macro="" textlink="">
          <xdr:nvSpPr>
            <xdr:cNvPr id="2059" name="Object 11" hidden="1">
              <a:extLst>
                <a:ext uri="{63B3BB69-23CF-44E3-9099-C40C66FF867C}">
                  <a14:compatExt spid="_x0000_s2059"/>
                </a:ext>
              </a:extLst>
            </xdr:cNvPr>
            <xdr:cNvSpPr/>
          </xdr:nvSpPr>
          <xdr:spPr>
            <a:xfrm>
              <a:off x="0" y="0"/>
              <a:ext cx="0" cy="0"/>
            </a:xfrm>
            <a:prstGeom prst="rect">
              <a:avLst/>
            </a:prstGeom>
          </xdr:spPr>
        </xdr:sp>
        <xdr:clientData/>
      </xdr:twoCellAnchor>
    </mc:Choice>
    <mc:Fallback/>
  </mc:AlternateContent>
  <xdr:twoCellAnchor>
    <xdr:from>
      <xdr:col>5</xdr:col>
      <xdr:colOff>104774</xdr:colOff>
      <xdr:row>58</xdr:row>
      <xdr:rowOff>523874</xdr:rowOff>
    </xdr:from>
    <xdr:to>
      <xdr:col>11</xdr:col>
      <xdr:colOff>685799</xdr:colOff>
      <xdr:row>63</xdr:row>
      <xdr:rowOff>104775</xdr:rowOff>
    </xdr:to>
    <xdr:sp macro="" textlink="">
      <xdr:nvSpPr>
        <xdr:cNvPr id="16" name="Text ClimateModels"/>
        <xdr:cNvSpPr txBox="1">
          <a:spLocks noChangeArrowheads="1"/>
        </xdr:cNvSpPr>
      </xdr:nvSpPr>
      <xdr:spPr bwMode="auto">
        <a:xfrm>
          <a:off x="4552949" y="10239374"/>
          <a:ext cx="5000625" cy="838201"/>
        </a:xfrm>
        <a:prstGeom prst="rect">
          <a:avLst/>
        </a:prstGeom>
        <a:solidFill>
          <a:srgbClr val="FFCC99"/>
        </a:solidFill>
        <a:ln w="9525">
          <a:solidFill>
            <a:srgbClr val="000000"/>
          </a:solidFill>
          <a:miter lim="800000"/>
          <a:headEnd/>
          <a:tailEnd/>
        </a:ln>
      </xdr:spPr>
      <xdr:txBody>
        <a:bodyPr vertOverflow="clip" wrap="square" lIns="36576" tIns="27432" rIns="0" bIns="0" anchor="t"/>
        <a:lstStyle/>
        <a:p>
          <a:pPr algn="l" rtl="0">
            <a:defRPr sz="1000"/>
          </a:pPr>
          <a:r>
            <a:rPr lang="en-US" sz="1200" b="0" i="0" u="none" strike="noStrike" baseline="0">
              <a:solidFill>
                <a:srgbClr val="000000"/>
              </a:solidFill>
              <a:latin typeface="+mn-lt"/>
              <a:cs typeface="Arial"/>
            </a:rPr>
            <a:t>The numbers in the white cells are the areas of triangles and rectangles used to estimate areas under curves in a Nimbus diagram, in arbitrary units, as generated by the drawing program used to draw over the Nimbus diagram.</a:t>
          </a:r>
        </a:p>
      </xdr:txBody>
    </xdr:sp>
    <xdr:clientData/>
  </xdr:twoCellAnchor>
  <mc:AlternateContent xmlns:mc="http://schemas.openxmlformats.org/markup-compatibility/2006">
    <mc:Choice xmlns:a14="http://schemas.microsoft.com/office/drawing/2010/main" Requires="a14">
      <xdr:twoCellAnchor editAs="oneCell">
        <xdr:from>
          <xdr:col>2</xdr:col>
          <xdr:colOff>276225</xdr:colOff>
          <xdr:row>73</xdr:row>
          <xdr:rowOff>19050</xdr:rowOff>
        </xdr:from>
        <xdr:to>
          <xdr:col>2</xdr:col>
          <xdr:colOff>561975</xdr:colOff>
          <xdr:row>75</xdr:row>
          <xdr:rowOff>0</xdr:rowOff>
        </xdr:to>
        <xdr:sp macro="" textlink="">
          <xdr:nvSpPr>
            <xdr:cNvPr id="2108" name="Object 60" hidden="1">
              <a:extLst>
                <a:ext uri="{63B3BB69-23CF-44E3-9099-C40C66FF867C}">
                  <a14:compatExt spid="_x0000_s2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73</xdr:row>
          <xdr:rowOff>0</xdr:rowOff>
        </xdr:from>
        <xdr:to>
          <xdr:col>5</xdr:col>
          <xdr:colOff>533400</xdr:colOff>
          <xdr:row>75</xdr:row>
          <xdr:rowOff>0</xdr:rowOff>
        </xdr:to>
        <xdr:sp macro="" textlink="">
          <xdr:nvSpPr>
            <xdr:cNvPr id="2110" name="Object 62" hidden="1">
              <a:extLst>
                <a:ext uri="{63B3BB69-23CF-44E3-9099-C40C66FF867C}">
                  <a14:compatExt spid="_x0000_s2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76</xdr:row>
          <xdr:rowOff>9525</xdr:rowOff>
        </xdr:from>
        <xdr:to>
          <xdr:col>2</xdr:col>
          <xdr:colOff>552450</xdr:colOff>
          <xdr:row>77</xdr:row>
          <xdr:rowOff>19050</xdr:rowOff>
        </xdr:to>
        <xdr:sp macro="" textlink="">
          <xdr:nvSpPr>
            <xdr:cNvPr id="2111" name="Object 63" hidden="1">
              <a:extLst>
                <a:ext uri="{63B3BB69-23CF-44E3-9099-C40C66FF867C}">
                  <a14:compatExt spid="_x0000_s2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76</xdr:row>
          <xdr:rowOff>0</xdr:rowOff>
        </xdr:from>
        <xdr:to>
          <xdr:col>3</xdr:col>
          <xdr:colOff>723900</xdr:colOff>
          <xdr:row>77</xdr:row>
          <xdr:rowOff>19050</xdr:rowOff>
        </xdr:to>
        <xdr:sp macro="" textlink="">
          <xdr:nvSpPr>
            <xdr:cNvPr id="2112" name="Object 64" hidden="1">
              <a:extLst>
                <a:ext uri="{63B3BB69-23CF-44E3-9099-C40C66FF867C}">
                  <a14:compatExt spid="_x0000_s2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76</xdr:row>
          <xdr:rowOff>9525</xdr:rowOff>
        </xdr:from>
        <xdr:to>
          <xdr:col>5</xdr:col>
          <xdr:colOff>628650</xdr:colOff>
          <xdr:row>77</xdr:row>
          <xdr:rowOff>19050</xdr:rowOff>
        </xdr:to>
        <xdr:sp macro="" textlink="">
          <xdr:nvSpPr>
            <xdr:cNvPr id="2113" name="Object 65" hidden="1">
              <a:extLst>
                <a:ext uri="{63B3BB69-23CF-44E3-9099-C40C66FF867C}">
                  <a14:compatExt spid="_x0000_s2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76</xdr:row>
          <xdr:rowOff>409575</xdr:rowOff>
        </xdr:from>
        <xdr:to>
          <xdr:col>3</xdr:col>
          <xdr:colOff>781050</xdr:colOff>
          <xdr:row>78</xdr:row>
          <xdr:rowOff>19050</xdr:rowOff>
        </xdr:to>
        <xdr:sp macro="" textlink="">
          <xdr:nvSpPr>
            <xdr:cNvPr id="2114" name="Object 66" hidden="1">
              <a:extLst>
                <a:ext uri="{63B3BB69-23CF-44E3-9099-C40C66FF867C}">
                  <a14:compatExt spid="_x0000_s2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77</xdr:row>
          <xdr:rowOff>0</xdr:rowOff>
        </xdr:from>
        <xdr:to>
          <xdr:col>5</xdr:col>
          <xdr:colOff>457200</xdr:colOff>
          <xdr:row>78</xdr:row>
          <xdr:rowOff>19050</xdr:rowOff>
        </xdr:to>
        <xdr:sp macro="" textlink="">
          <xdr:nvSpPr>
            <xdr:cNvPr id="2116" name="Object 68" hidden="1">
              <a:extLst>
                <a:ext uri="{63B3BB69-23CF-44E3-9099-C40C66FF867C}">
                  <a14:compatExt spid="_x0000_s2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76</xdr:row>
          <xdr:rowOff>409575</xdr:rowOff>
        </xdr:from>
        <xdr:to>
          <xdr:col>4</xdr:col>
          <xdr:colOff>676275</xdr:colOff>
          <xdr:row>78</xdr:row>
          <xdr:rowOff>19050</xdr:rowOff>
        </xdr:to>
        <xdr:sp macro="" textlink="">
          <xdr:nvSpPr>
            <xdr:cNvPr id="2123" name="Object 75" hidden="1">
              <a:extLst>
                <a:ext uri="{63B3BB69-23CF-44E3-9099-C40C66FF867C}">
                  <a14:compatExt spid="_x0000_s2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73</xdr:row>
          <xdr:rowOff>9525</xdr:rowOff>
        </xdr:from>
        <xdr:to>
          <xdr:col>3</xdr:col>
          <xdr:colOff>828675</xdr:colOff>
          <xdr:row>74</xdr:row>
          <xdr:rowOff>285750</xdr:rowOff>
        </xdr:to>
        <xdr:sp macro="" textlink="">
          <xdr:nvSpPr>
            <xdr:cNvPr id="2124" name="Object 76" hidden="1">
              <a:extLst>
                <a:ext uri="{63B3BB69-23CF-44E3-9099-C40C66FF867C}">
                  <a14:compatExt spid="_x0000_s2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72</xdr:row>
          <xdr:rowOff>152400</xdr:rowOff>
        </xdr:from>
        <xdr:to>
          <xdr:col>4</xdr:col>
          <xdr:colOff>828675</xdr:colOff>
          <xdr:row>75</xdr:row>
          <xdr:rowOff>9525</xdr:rowOff>
        </xdr:to>
        <xdr:sp macro="" textlink="">
          <xdr:nvSpPr>
            <xdr:cNvPr id="2125" name="Object 77" hidden="1">
              <a:extLst>
                <a:ext uri="{63B3BB69-23CF-44E3-9099-C40C66FF867C}">
                  <a14:compatExt spid="_x0000_s2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962025</xdr:colOff>
          <xdr:row>76</xdr:row>
          <xdr:rowOff>9525</xdr:rowOff>
        </xdr:from>
        <xdr:to>
          <xdr:col>4</xdr:col>
          <xdr:colOff>990600</xdr:colOff>
          <xdr:row>77</xdr:row>
          <xdr:rowOff>19050</xdr:rowOff>
        </xdr:to>
        <xdr:sp macro="" textlink="">
          <xdr:nvSpPr>
            <xdr:cNvPr id="2130" name="Object 82" hidden="1">
              <a:extLst>
                <a:ext uri="{63B3BB69-23CF-44E3-9099-C40C66FF867C}">
                  <a14:compatExt spid="_x0000_s2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48</xdr:row>
          <xdr:rowOff>28575</xdr:rowOff>
        </xdr:from>
        <xdr:to>
          <xdr:col>2</xdr:col>
          <xdr:colOff>476250</xdr:colOff>
          <xdr:row>49</xdr:row>
          <xdr:rowOff>9525</xdr:rowOff>
        </xdr:to>
        <xdr:sp macro="" textlink="">
          <xdr:nvSpPr>
            <xdr:cNvPr id="2132" name="Object 84" hidden="1">
              <a:extLst>
                <a:ext uri="{63B3BB69-23CF-44E3-9099-C40C66FF867C}">
                  <a14:compatExt spid="_x0000_s2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48</xdr:row>
          <xdr:rowOff>28575</xdr:rowOff>
        </xdr:from>
        <xdr:to>
          <xdr:col>3</xdr:col>
          <xdr:colOff>561975</xdr:colOff>
          <xdr:row>49</xdr:row>
          <xdr:rowOff>9525</xdr:rowOff>
        </xdr:to>
        <xdr:sp macro="" textlink="">
          <xdr:nvSpPr>
            <xdr:cNvPr id="2133" name="Object 85" hidden="1">
              <a:extLst>
                <a:ext uri="{63B3BB69-23CF-44E3-9099-C40C66FF867C}">
                  <a14:compatExt spid="_x0000_s2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9525</xdr:rowOff>
        </xdr:from>
        <xdr:to>
          <xdr:col>6</xdr:col>
          <xdr:colOff>457200</xdr:colOff>
          <xdr:row>49</xdr:row>
          <xdr:rowOff>9525</xdr:rowOff>
        </xdr:to>
        <xdr:sp macro="" textlink="">
          <xdr:nvSpPr>
            <xdr:cNvPr id="2134" name="Object 86" hidden="1">
              <a:extLst>
                <a:ext uri="{63B3BB69-23CF-44E3-9099-C40C66FF867C}">
                  <a14:compatExt spid="_x0000_s2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48</xdr:row>
          <xdr:rowOff>9525</xdr:rowOff>
        </xdr:from>
        <xdr:to>
          <xdr:col>7</xdr:col>
          <xdr:colOff>485775</xdr:colOff>
          <xdr:row>48</xdr:row>
          <xdr:rowOff>219075</xdr:rowOff>
        </xdr:to>
        <xdr:sp macro="" textlink="">
          <xdr:nvSpPr>
            <xdr:cNvPr id="2135" name="Object 87" hidden="1">
              <a:extLst>
                <a:ext uri="{63B3BB69-23CF-44E3-9099-C40C66FF867C}">
                  <a14:compatExt spid="_x0000_s213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14</xdr:col>
      <xdr:colOff>304800</xdr:colOff>
      <xdr:row>1</xdr:row>
      <xdr:rowOff>66670</xdr:rowOff>
    </xdr:from>
    <xdr:to>
      <xdr:col>24</xdr:col>
      <xdr:colOff>342900</xdr:colOff>
      <xdr:row>60</xdr:row>
      <xdr:rowOff>38100</xdr:rowOff>
    </xdr:to>
    <xdr:sp macro="" textlink="">
      <xdr:nvSpPr>
        <xdr:cNvPr id="2" name="Text ClimateModels"/>
        <xdr:cNvSpPr txBox="1">
          <a:spLocks noChangeArrowheads="1"/>
        </xdr:cNvSpPr>
      </xdr:nvSpPr>
      <xdr:spPr bwMode="auto">
        <a:xfrm>
          <a:off x="10115550" y="361945"/>
          <a:ext cx="6419850" cy="9867905"/>
        </a:xfrm>
        <a:prstGeom prst="rect">
          <a:avLst/>
        </a:prstGeom>
        <a:solidFill>
          <a:srgbClr val="FFCC99"/>
        </a:solidFill>
        <a:ln w="9525">
          <a:solidFill>
            <a:srgbClr val="000000"/>
          </a:solidFill>
          <a:miter lim="800000"/>
          <a:headEnd/>
          <a:tailEnd/>
        </a:ln>
      </xdr:spPr>
      <xdr:txBody>
        <a:bodyPr vertOverflow="clip" wrap="square" lIns="36576" tIns="27432" rIns="0" bIns="0" anchor="t"/>
        <a:lstStyle/>
        <a:p>
          <a:pPr algn="l" rtl="0">
            <a:defRPr sz="1000"/>
          </a:pPr>
          <a:r>
            <a:rPr lang="en-US" sz="1200" b="1" i="0" u="none" strike="noStrike" baseline="0">
              <a:solidFill>
                <a:srgbClr val="000000"/>
              </a:solidFill>
              <a:latin typeface="+mn-lt"/>
              <a:cs typeface="Arial"/>
            </a:rPr>
            <a:t>Notes</a:t>
          </a:r>
        </a:p>
        <a:p>
          <a:pPr algn="l" rtl="0">
            <a:defRPr sz="1000"/>
          </a:pPr>
          <a:r>
            <a:rPr lang="en-US" sz="1100" b="0" i="0" u="none" strike="noStrike" baseline="0">
              <a:solidFill>
                <a:srgbClr val="000000"/>
              </a:solidFill>
              <a:latin typeface="+mn-lt"/>
              <a:cs typeface="Arial"/>
            </a:rPr>
            <a:t>A. R = outgoing longwave radiation (OLR )</a:t>
          </a:r>
        </a:p>
        <a:p>
          <a:pPr algn="l" rtl="0">
            <a:defRPr sz="1000"/>
          </a:pPr>
          <a:r>
            <a:rPr lang="en-US" sz="1100" b="0" i="0" u="none" strike="noStrike" baseline="0">
              <a:solidFill>
                <a:srgbClr val="000000"/>
              </a:solidFill>
              <a:latin typeface="+mn-lt"/>
              <a:cs typeface="Arial"/>
            </a:rPr>
            <a:t>    TR = radiating temperature = (R/sigma * epsilon)^0.25</a:t>
          </a:r>
        </a:p>
        <a:p>
          <a:pPr algn="l" rtl="0">
            <a:defRPr sz="1000"/>
          </a:pPr>
          <a:r>
            <a:rPr lang="en-US" sz="1100" b="0" i="0" u="none" strike="noStrike" baseline="0">
              <a:solidFill>
                <a:srgbClr val="000000"/>
              </a:solidFill>
              <a:latin typeface="+mn-lt"/>
              <a:cs typeface="Arial"/>
            </a:rPr>
            <a:t>    Ts = surface temperature</a:t>
          </a:r>
        </a:p>
        <a:p>
          <a:pPr algn="l" rtl="0">
            <a:defRPr sz="1000"/>
          </a:pPr>
          <a:r>
            <a:rPr lang="en-US" sz="1100" b="0" i="0" u="none" strike="noStrike" baseline="0">
              <a:solidFill>
                <a:srgbClr val="000000"/>
              </a:solidFill>
              <a:latin typeface="+mn-lt"/>
              <a:cs typeface="Arial"/>
            </a:rPr>
            <a:t>    </a:t>
          </a:r>
          <a:r>
            <a:rPr lang="el-GR" sz="1100" b="0" i="0" baseline="0">
              <a:effectLst/>
              <a:latin typeface="+mn-lt"/>
              <a:ea typeface="+mn-ea"/>
              <a:cs typeface="+mn-cs"/>
            </a:rPr>
            <a:t>δ</a:t>
          </a:r>
          <a:r>
            <a:rPr lang="en-US" sz="1100" b="0" i="0" baseline="0">
              <a:effectLst/>
              <a:latin typeface="+mn-lt"/>
              <a:ea typeface="+mn-ea"/>
              <a:cs typeface="+mn-cs"/>
            </a:rPr>
            <a:t> = increment operator, for when Ts is incremented.</a:t>
          </a:r>
          <a:endParaRPr lang="en-US" sz="1100" b="0" i="0" u="none" strike="noStrike" baseline="0">
            <a:solidFill>
              <a:srgbClr val="000000"/>
            </a:solidFill>
            <a:latin typeface="+mn-lt"/>
            <a:cs typeface="Arial"/>
          </a:endParaRP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B. The </a:t>
          </a:r>
          <a:r>
            <a:rPr lang="en-US" sz="1100" b="1" i="0" u="none" strike="noStrike" baseline="0">
              <a:solidFill>
                <a:srgbClr val="000000"/>
              </a:solidFill>
              <a:latin typeface="+mn-lt"/>
              <a:cs typeface="Arial"/>
            </a:rPr>
            <a:t>Planck feedback </a:t>
          </a:r>
          <a:r>
            <a:rPr lang="en-US" sz="1100" b="0" i="0" u="none" strike="noStrike" baseline="0">
              <a:solidFill>
                <a:srgbClr val="000000"/>
              </a:solidFill>
              <a:latin typeface="+mn-lt"/>
              <a:cs typeface="Arial"/>
            </a:rPr>
            <a:t>is the ratio of small corresponding changes in OLR and Ts (i.e. </a:t>
          </a:r>
          <a:r>
            <a:rPr lang="el-GR" sz="1100" b="0" i="0" u="none" strike="noStrike" baseline="0">
              <a:solidFill>
                <a:srgbClr val="000000"/>
              </a:solidFill>
              <a:latin typeface="+mn-lt"/>
              <a:cs typeface="Arial"/>
            </a:rPr>
            <a:t>δ</a:t>
          </a:r>
          <a:r>
            <a:rPr lang="en-US" sz="1100" b="0" i="0" u="none" strike="noStrike" baseline="0">
              <a:solidFill>
                <a:srgbClr val="000000"/>
              </a:solidFill>
              <a:latin typeface="+mn-lt"/>
              <a:cs typeface="Arial"/>
            </a:rPr>
            <a:t>R / </a:t>
          </a:r>
          <a:r>
            <a:rPr lang="el-GR" sz="1100" b="0" i="0" u="none" strike="noStrike" baseline="0">
              <a:solidFill>
                <a:srgbClr val="000000"/>
              </a:solidFill>
              <a:latin typeface="+mn-lt"/>
              <a:cs typeface="Arial"/>
            </a:rPr>
            <a:t>δ</a:t>
          </a:r>
          <a:r>
            <a:rPr lang="en-US" sz="1100" b="0" i="0" u="none" strike="noStrike" baseline="0">
              <a:solidFill>
                <a:srgbClr val="000000"/>
              </a:solidFill>
              <a:latin typeface="+mn-lt"/>
              <a:cs typeface="Arial"/>
            </a:rPr>
            <a:t>Ts) under the </a:t>
          </a:r>
          <a:r>
            <a:rPr lang="en-US" sz="1100" b="1" i="0" u="none" strike="noStrike" baseline="0">
              <a:solidFill>
                <a:srgbClr val="000000"/>
              </a:solidFill>
              <a:latin typeface="+mn-lt"/>
              <a:cs typeface="Arial"/>
            </a:rPr>
            <a:t>Planck conditions </a:t>
          </a:r>
          <a:r>
            <a:rPr lang="en-US" sz="1100" b="0" i="0" u="none" strike="noStrike" baseline="0">
              <a:solidFill>
                <a:srgbClr val="000000"/>
              </a:solidFill>
              <a:latin typeface="+mn-lt"/>
              <a:cs typeface="Arial"/>
            </a:rPr>
            <a:t>(all else besides tropospheric temperature and OLR are held constant, so there are no feedbacks, all mean tropospheric temperatures move uniformly, and stratospheric temperatures are unchanged -- see Soden and Held 2006  p. 3355 - 6). From Soden and Held 2006 (earlier climate models) or AR5 (CMIP5), its value is </a:t>
          </a:r>
        </a:p>
        <a:p>
          <a:pPr algn="l" rtl="0">
            <a:defRPr sz="1000"/>
          </a:pPr>
          <a:r>
            <a:rPr lang="en-US" sz="1100" b="0" i="0" u="none" strike="noStrike" baseline="0">
              <a:solidFill>
                <a:srgbClr val="000000"/>
              </a:solidFill>
              <a:latin typeface="+mn-lt"/>
              <a:cs typeface="Arial"/>
            </a:rPr>
            <a:t>    Planck feedback = </a:t>
          </a:r>
          <a:r>
            <a:rPr lang="el-GR" sz="1100" b="0" i="0" u="none" strike="noStrike" baseline="0">
              <a:solidFill>
                <a:srgbClr val="000000"/>
              </a:solidFill>
              <a:latin typeface="+mn-lt"/>
              <a:cs typeface="Arial"/>
            </a:rPr>
            <a:t>δ</a:t>
          </a:r>
          <a:r>
            <a:rPr lang="en-US" sz="1100" b="0" i="0" u="none" strike="noStrike" baseline="0">
              <a:solidFill>
                <a:srgbClr val="000000"/>
              </a:solidFill>
              <a:latin typeface="+mn-lt"/>
              <a:cs typeface="Arial"/>
            </a:rPr>
            <a:t>R / </a:t>
          </a:r>
          <a:r>
            <a:rPr lang="el-GR" sz="1100" b="0" i="0" u="none" strike="noStrike" baseline="0">
              <a:solidFill>
                <a:srgbClr val="000000"/>
              </a:solidFill>
              <a:latin typeface="+mn-lt"/>
              <a:cs typeface="Arial"/>
            </a:rPr>
            <a:t>δ</a:t>
          </a:r>
          <a:r>
            <a:rPr lang="en-US" sz="1100" b="0" i="0" u="none" strike="noStrike" baseline="0">
              <a:solidFill>
                <a:srgbClr val="000000"/>
              </a:solidFill>
              <a:latin typeface="+mn-lt"/>
              <a:cs typeface="Arial"/>
            </a:rPr>
            <a:t>Ts = -3.2 ± 0.1 W/m2 per K.</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C. The </a:t>
          </a:r>
          <a:r>
            <a:rPr lang="en-US" sz="1100" b="1" i="0" u="none" strike="noStrike" baseline="0">
              <a:solidFill>
                <a:srgbClr val="000000"/>
              </a:solidFill>
              <a:latin typeface="+mn-lt"/>
              <a:cs typeface="Arial"/>
            </a:rPr>
            <a:t>Planck sensitivity </a:t>
          </a:r>
          <a:r>
            <a:rPr lang="en-US" sz="1100" b="0" i="0" u="none" strike="noStrike" baseline="0">
              <a:solidFill>
                <a:srgbClr val="000000"/>
              </a:solidFill>
              <a:latin typeface="+mn-lt"/>
              <a:cs typeface="Arial"/>
            </a:rPr>
            <a:t>is the ratio of small corresponding changes in Ts and OLR (i.e. </a:t>
          </a:r>
          <a:r>
            <a:rPr lang="el-GR" sz="1100" b="0" i="0" u="none" strike="noStrike" baseline="0">
              <a:solidFill>
                <a:srgbClr val="000000"/>
              </a:solidFill>
              <a:latin typeface="+mn-lt"/>
              <a:cs typeface="Arial"/>
            </a:rPr>
            <a:t>δ</a:t>
          </a:r>
          <a:r>
            <a:rPr lang="en-US" sz="1100" b="0" i="0" u="none" strike="noStrike" baseline="0">
              <a:solidFill>
                <a:srgbClr val="000000"/>
              </a:solidFill>
              <a:latin typeface="+mn-lt"/>
              <a:cs typeface="Arial"/>
            </a:rPr>
            <a:t>Ts / </a:t>
          </a:r>
          <a:r>
            <a:rPr lang="el-GR" sz="1100" b="0" i="0" u="none" strike="noStrike" baseline="0">
              <a:solidFill>
                <a:srgbClr val="000000"/>
              </a:solidFill>
              <a:latin typeface="+mn-lt"/>
              <a:cs typeface="Arial"/>
            </a:rPr>
            <a:t>δ</a:t>
          </a:r>
          <a:r>
            <a:rPr lang="en-US" sz="1100" b="0" i="0" u="none" strike="noStrike" baseline="0">
              <a:solidFill>
                <a:srgbClr val="000000"/>
              </a:solidFill>
              <a:latin typeface="+mn-lt"/>
              <a:cs typeface="Arial"/>
            </a:rPr>
            <a:t>R), under the Planck conditions.  Equal to the reciprocal of the magntidue of the Planck feedback. Its value is </a:t>
          </a:r>
        </a:p>
        <a:p>
          <a:pPr algn="l" rtl="0">
            <a:defRPr sz="1000"/>
          </a:pPr>
          <a:r>
            <a:rPr lang="en-US" sz="1100" b="0" i="0" u="none" strike="noStrike" baseline="0">
              <a:solidFill>
                <a:srgbClr val="000000"/>
              </a:solidFill>
              <a:latin typeface="+mn-lt"/>
              <a:cs typeface="Arial"/>
            </a:rPr>
            <a:t>    Planck senstivity = </a:t>
          </a:r>
          <a:r>
            <a:rPr lang="el-GR" sz="1100" b="0" i="0" u="none" strike="noStrike" baseline="0">
              <a:solidFill>
                <a:srgbClr val="000000"/>
              </a:solidFill>
              <a:latin typeface="+mn-lt"/>
              <a:cs typeface="Arial"/>
            </a:rPr>
            <a:t>λ</a:t>
          </a:r>
          <a:r>
            <a:rPr lang="en-US" sz="1100" b="0" i="0" u="none" strike="noStrike" baseline="-25000">
              <a:solidFill>
                <a:srgbClr val="000000"/>
              </a:solidFill>
              <a:latin typeface="+mn-lt"/>
              <a:cs typeface="Arial"/>
            </a:rPr>
            <a:t>0</a:t>
          </a:r>
          <a:r>
            <a:rPr lang="en-US" sz="1100" b="0" i="0" u="none" strike="noStrike" baseline="0">
              <a:solidFill>
                <a:srgbClr val="000000"/>
              </a:solidFill>
              <a:latin typeface="+mn-lt"/>
              <a:cs typeface="Arial"/>
            </a:rPr>
            <a:t> = </a:t>
          </a:r>
          <a:r>
            <a:rPr lang="el-GR" sz="1100" b="0" i="0" u="none" strike="noStrike" baseline="0">
              <a:solidFill>
                <a:srgbClr val="000000"/>
              </a:solidFill>
              <a:latin typeface="+mn-lt"/>
              <a:cs typeface="Arial"/>
            </a:rPr>
            <a:t>δ</a:t>
          </a:r>
          <a:r>
            <a:rPr lang="en-US" sz="1100" b="0" i="0" u="none" strike="noStrike" baseline="0">
              <a:solidFill>
                <a:srgbClr val="000000"/>
              </a:solidFill>
              <a:latin typeface="+mn-lt"/>
              <a:cs typeface="Arial"/>
            </a:rPr>
            <a:t>Ts / </a:t>
          </a:r>
          <a:r>
            <a:rPr lang="el-GR" sz="1100" b="0" i="0" u="none" strike="noStrike" baseline="0">
              <a:solidFill>
                <a:srgbClr val="000000"/>
              </a:solidFill>
              <a:latin typeface="+mn-lt"/>
              <a:cs typeface="Arial"/>
            </a:rPr>
            <a:t>δ</a:t>
          </a:r>
          <a:r>
            <a:rPr lang="en-US" sz="1100" b="0" i="0" u="none" strike="noStrike" baseline="0">
              <a:solidFill>
                <a:srgbClr val="000000"/>
              </a:solidFill>
              <a:latin typeface="+mn-lt"/>
              <a:cs typeface="Arial"/>
            </a:rPr>
            <a:t>R = 1/ |</a:t>
          </a:r>
          <a:r>
            <a:rPr lang="en-US" sz="1100" b="0" i="0" baseline="0">
              <a:effectLst/>
              <a:latin typeface="+mn-lt"/>
              <a:ea typeface="+mn-ea"/>
              <a:cs typeface="+mn-cs"/>
            </a:rPr>
            <a:t>-3.2 ± 0.1|</a:t>
          </a:r>
          <a:r>
            <a:rPr lang="en-US" sz="1000" b="0" i="0" baseline="0">
              <a:effectLst/>
              <a:latin typeface="+mn-lt"/>
              <a:ea typeface="+mn-ea"/>
              <a:cs typeface="+mn-cs"/>
            </a:rPr>
            <a:t> = </a:t>
          </a:r>
          <a:r>
            <a:rPr lang="en-US" sz="1100" b="0" i="0" u="none" strike="noStrike" baseline="0">
              <a:solidFill>
                <a:srgbClr val="000000"/>
              </a:solidFill>
              <a:latin typeface="+mn-lt"/>
              <a:cs typeface="Arial"/>
            </a:rPr>
            <a:t>0.3125 ± 0.01 K per W/m2.</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D. The </a:t>
          </a:r>
          <a:r>
            <a:rPr lang="en-US" sz="1100" b="1" i="0" u="none" strike="noStrike" baseline="0">
              <a:solidFill>
                <a:srgbClr val="000000"/>
              </a:solidFill>
              <a:latin typeface="+mn-lt"/>
              <a:cs typeface="Arial"/>
            </a:rPr>
            <a:t>Stefan Boltzmann sensitivity </a:t>
          </a:r>
          <a:r>
            <a:rPr lang="en-US" sz="1100" b="0" i="0" u="none" strike="noStrike" baseline="0">
              <a:solidFill>
                <a:srgbClr val="000000"/>
              </a:solidFill>
              <a:latin typeface="+mn-lt"/>
              <a:cs typeface="Arial"/>
            </a:rPr>
            <a:t>is the ratio of small corresponding changes in TR and OLR (i.e. </a:t>
          </a:r>
          <a:r>
            <a:rPr lang="el-GR" sz="1100" b="0" i="0" u="none" strike="noStrike" baseline="0">
              <a:solidFill>
                <a:srgbClr val="000000"/>
              </a:solidFill>
              <a:latin typeface="+mn-lt"/>
              <a:cs typeface="Arial"/>
            </a:rPr>
            <a:t>δ</a:t>
          </a:r>
          <a:r>
            <a:rPr lang="en-US" sz="1100" b="0" i="0" u="none" strike="noStrike" baseline="0">
              <a:solidFill>
                <a:srgbClr val="000000"/>
              </a:solidFill>
              <a:latin typeface="+mn-lt"/>
              <a:cs typeface="Arial"/>
            </a:rPr>
            <a:t>TR / </a:t>
          </a:r>
          <a:r>
            <a:rPr lang="el-GR" sz="1000" b="0" i="0" baseline="0">
              <a:effectLst/>
              <a:latin typeface="+mn-lt"/>
              <a:ea typeface="+mn-ea"/>
              <a:cs typeface="+mn-cs"/>
            </a:rPr>
            <a:t>δ</a:t>
          </a:r>
          <a:r>
            <a:rPr lang="en-US" sz="1100" b="0" i="0" u="none" strike="noStrike" baseline="0">
              <a:solidFill>
                <a:srgbClr val="000000"/>
              </a:solidFill>
              <a:latin typeface="+mn-lt"/>
              <a:cs typeface="Arial"/>
            </a:rPr>
            <a:t>R), under all circumstances. It is the slope of the Stefan Boltzmann curve where Earth currently is. Its value is</a:t>
          </a:r>
        </a:p>
        <a:p>
          <a:pPr algn="l" rtl="0">
            <a:defRPr sz="1000"/>
          </a:pPr>
          <a:r>
            <a:rPr lang="en-US" sz="1100" b="0" i="0" u="none" strike="noStrike" baseline="0">
              <a:solidFill>
                <a:srgbClr val="000000"/>
              </a:solidFill>
              <a:latin typeface="+mn-lt"/>
              <a:cs typeface="Arial"/>
            </a:rPr>
            <a:t>    SB senstivity = </a:t>
          </a:r>
          <a:r>
            <a:rPr lang="el-GR" sz="1100" b="0" i="0" baseline="0">
              <a:effectLst/>
              <a:latin typeface="+mn-lt"/>
              <a:ea typeface="+mn-ea"/>
              <a:cs typeface="+mn-cs"/>
            </a:rPr>
            <a:t>λ</a:t>
          </a:r>
          <a:r>
            <a:rPr lang="en-US" sz="1100" b="0" i="0" baseline="-25000">
              <a:effectLst/>
              <a:latin typeface="+mn-lt"/>
              <a:ea typeface="+mn-ea"/>
              <a:cs typeface="+mn-cs"/>
            </a:rPr>
            <a:t>SB</a:t>
          </a:r>
          <a:r>
            <a:rPr lang="en-US" sz="1100" b="0" i="0" baseline="0">
              <a:effectLst/>
              <a:latin typeface="+mn-lt"/>
              <a:ea typeface="+mn-ea"/>
              <a:cs typeface="+mn-cs"/>
            </a:rPr>
            <a:t> =</a:t>
          </a:r>
          <a:r>
            <a:rPr lang="en-US" sz="1100" b="0" i="0" u="none" strike="noStrike" baseline="0">
              <a:solidFill>
                <a:srgbClr val="000000"/>
              </a:solidFill>
              <a:latin typeface="+mn-lt"/>
              <a:cs typeface="Arial"/>
            </a:rPr>
            <a:t> </a:t>
          </a:r>
          <a:r>
            <a:rPr lang="el-GR" sz="1100" b="0" i="0" u="none" strike="noStrike" baseline="0">
              <a:solidFill>
                <a:srgbClr val="000000"/>
              </a:solidFill>
              <a:latin typeface="+mn-lt"/>
              <a:cs typeface="Arial"/>
            </a:rPr>
            <a:t>δ</a:t>
          </a:r>
          <a:r>
            <a:rPr lang="en-US" sz="1100" b="0" i="0" u="none" strike="noStrike" baseline="0">
              <a:solidFill>
                <a:srgbClr val="000000"/>
              </a:solidFill>
              <a:latin typeface="+mn-lt"/>
              <a:cs typeface="Arial"/>
            </a:rPr>
            <a:t>TR / </a:t>
          </a:r>
          <a:r>
            <a:rPr lang="el-GR" sz="1100" b="0" i="0" u="none" strike="noStrike" baseline="0">
              <a:solidFill>
                <a:srgbClr val="000000"/>
              </a:solidFill>
              <a:latin typeface="+mn-lt"/>
              <a:cs typeface="Arial"/>
            </a:rPr>
            <a:t>δ</a:t>
          </a:r>
          <a:r>
            <a:rPr lang="en-US" sz="1100" b="0" i="0" u="none" strike="noStrike" baseline="0">
              <a:solidFill>
                <a:srgbClr val="000000"/>
              </a:solidFill>
              <a:latin typeface="+mn-lt"/>
              <a:cs typeface="Arial"/>
            </a:rPr>
            <a:t>R = 1/(4 * sigma * epsilon * TR^3) = TR / 4R = 255 / (4 * 239) = 0.267 K per W/m2 .</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E. </a:t>
          </a:r>
          <a:r>
            <a:rPr lang="en-US" sz="1100" b="1" i="0" u="none" strike="noStrike" baseline="0">
              <a:solidFill>
                <a:srgbClr val="000000"/>
              </a:solidFill>
              <a:latin typeface="+mn-lt"/>
              <a:cs typeface="Arial"/>
            </a:rPr>
            <a:t>Temperature amplification</a:t>
          </a:r>
          <a:r>
            <a:rPr lang="en-US" sz="1100" b="0" i="0" u="none" strike="noStrike" baseline="0">
              <a:solidFill>
                <a:srgbClr val="000000"/>
              </a:solidFill>
              <a:latin typeface="+mn-lt"/>
              <a:cs typeface="Arial"/>
            </a:rPr>
            <a:t>: The Planck sensitivity is 17% higher than the SB sensitivity: (.3125 - .267) / .267 = 0.17. Therefore under the Planck conditions </a:t>
          </a:r>
          <a:r>
            <a:rPr lang="el-GR" sz="1100" b="0" i="0" u="none" strike="noStrike" baseline="0">
              <a:solidFill>
                <a:srgbClr val="000000"/>
              </a:solidFill>
              <a:latin typeface="+mn-lt"/>
              <a:cs typeface="Arial"/>
            </a:rPr>
            <a:t>δ</a:t>
          </a:r>
          <a:r>
            <a:rPr lang="en-US" sz="1100" b="0" i="0" u="none" strike="noStrike" baseline="0">
              <a:solidFill>
                <a:srgbClr val="000000"/>
              </a:solidFill>
              <a:latin typeface="+mn-lt"/>
              <a:cs typeface="Arial"/>
            </a:rPr>
            <a:t>Ts / </a:t>
          </a:r>
          <a:r>
            <a:rPr lang="el-GR" sz="1100" b="0" i="0" u="none" strike="noStrike" baseline="0">
              <a:solidFill>
                <a:srgbClr val="000000"/>
              </a:solidFill>
              <a:latin typeface="+mn-lt"/>
              <a:cs typeface="Arial"/>
            </a:rPr>
            <a:t>δ</a:t>
          </a:r>
          <a:r>
            <a:rPr lang="en-US" sz="1100" b="0" i="0" u="none" strike="noStrike" baseline="0">
              <a:solidFill>
                <a:srgbClr val="000000"/>
              </a:solidFill>
              <a:latin typeface="+mn-lt"/>
              <a:cs typeface="Arial"/>
            </a:rPr>
            <a:t>TR is 1.17 -- i.e. the Planck sensitivity is equal  to the SB sensitivity times </a:t>
          </a:r>
          <a:r>
            <a:rPr lang="el-GR" sz="1100" b="0" i="0" u="none" strike="noStrike" baseline="0">
              <a:solidFill>
                <a:srgbClr val="000000"/>
              </a:solidFill>
              <a:latin typeface="+mn-lt"/>
              <a:cs typeface="Arial"/>
            </a:rPr>
            <a:t>δ</a:t>
          </a:r>
          <a:r>
            <a:rPr lang="en-US" sz="1100" b="0" i="0" u="none" strike="noStrike" baseline="0">
              <a:solidFill>
                <a:srgbClr val="000000"/>
              </a:solidFill>
              <a:latin typeface="+mn-lt"/>
              <a:cs typeface="Arial"/>
            </a:rPr>
            <a:t>Ts / </a:t>
          </a:r>
          <a:r>
            <a:rPr lang="el-GR" sz="1100" b="0" i="0" u="none" strike="noStrike" baseline="0">
              <a:solidFill>
                <a:srgbClr val="000000"/>
              </a:solidFill>
              <a:latin typeface="+mn-lt"/>
              <a:cs typeface="Arial"/>
            </a:rPr>
            <a:t>δ</a:t>
          </a:r>
          <a:r>
            <a:rPr lang="en-US" sz="1100" b="0" i="0" u="none" strike="noStrike" baseline="0">
              <a:solidFill>
                <a:srgbClr val="000000"/>
              </a:solidFill>
              <a:latin typeface="+mn-lt"/>
              <a:cs typeface="Arial"/>
            </a:rPr>
            <a:t>TR , i.e. </a:t>
          </a:r>
          <a:r>
            <a:rPr lang="el-GR" sz="1100" b="0" i="0" u="none" strike="noStrike" baseline="0">
              <a:solidFill>
                <a:srgbClr val="000000"/>
              </a:solidFill>
              <a:latin typeface="+mn-lt"/>
              <a:cs typeface="Arial"/>
            </a:rPr>
            <a:t>δ</a:t>
          </a:r>
          <a:r>
            <a:rPr lang="en-US" sz="1100" b="0" i="0" u="none" strike="noStrike" baseline="0">
              <a:solidFill>
                <a:srgbClr val="000000"/>
              </a:solidFill>
              <a:latin typeface="+mn-lt"/>
              <a:cs typeface="Arial"/>
            </a:rPr>
            <a:t>Ts / </a:t>
          </a:r>
          <a:r>
            <a:rPr lang="el-GR" sz="1100" b="0" i="0" u="none" strike="noStrike" baseline="0">
              <a:solidFill>
                <a:srgbClr val="000000"/>
              </a:solidFill>
              <a:latin typeface="+mn-lt"/>
              <a:cs typeface="Arial"/>
            </a:rPr>
            <a:t>δ</a:t>
          </a:r>
          <a:r>
            <a:rPr lang="en-US" sz="1100" b="0" i="0" u="none" strike="noStrike" baseline="0">
              <a:solidFill>
                <a:srgbClr val="000000"/>
              </a:solidFill>
              <a:latin typeface="+mn-lt"/>
              <a:cs typeface="Arial"/>
            </a:rPr>
            <a:t>R = (</a:t>
          </a:r>
          <a:r>
            <a:rPr lang="el-GR" sz="1100" b="0" i="0" baseline="0">
              <a:effectLst/>
              <a:latin typeface="+mn-lt"/>
              <a:ea typeface="+mn-ea"/>
              <a:cs typeface="+mn-cs"/>
            </a:rPr>
            <a:t>δ</a:t>
          </a:r>
          <a:r>
            <a:rPr lang="en-US" sz="1100" b="0" i="0" baseline="0">
              <a:effectLst/>
              <a:latin typeface="+mn-lt"/>
              <a:ea typeface="+mn-ea"/>
              <a:cs typeface="+mn-cs"/>
            </a:rPr>
            <a:t>TR / </a:t>
          </a:r>
          <a:r>
            <a:rPr lang="el-GR" sz="1100" b="0" i="0" baseline="0">
              <a:effectLst/>
              <a:latin typeface="+mn-lt"/>
              <a:ea typeface="+mn-ea"/>
              <a:cs typeface="+mn-cs"/>
            </a:rPr>
            <a:t>δ</a:t>
          </a:r>
          <a:r>
            <a:rPr lang="en-US" sz="1100" b="0" i="0" baseline="0">
              <a:effectLst/>
              <a:latin typeface="+mn-lt"/>
              <a:ea typeface="+mn-ea"/>
              <a:cs typeface="+mn-cs"/>
            </a:rPr>
            <a:t>R) * (</a:t>
          </a:r>
          <a:r>
            <a:rPr lang="el-GR" sz="1100" b="0" i="0" u="none" strike="noStrike" baseline="0">
              <a:solidFill>
                <a:srgbClr val="000000"/>
              </a:solidFill>
              <a:latin typeface="+mn-lt"/>
              <a:cs typeface="Arial"/>
            </a:rPr>
            <a:t>δ</a:t>
          </a:r>
          <a:r>
            <a:rPr lang="en-US" sz="1100" b="0" i="0" u="none" strike="noStrike" baseline="0">
              <a:solidFill>
                <a:srgbClr val="000000"/>
              </a:solidFill>
              <a:latin typeface="+mn-lt"/>
              <a:cs typeface="Arial"/>
            </a:rPr>
            <a:t>Ts / </a:t>
          </a:r>
          <a:r>
            <a:rPr lang="el-GR" sz="1100" b="0" i="0" u="none" strike="noStrike" baseline="0">
              <a:solidFill>
                <a:srgbClr val="000000"/>
              </a:solidFill>
              <a:latin typeface="+mn-lt"/>
              <a:cs typeface="Arial"/>
            </a:rPr>
            <a:t>δ</a:t>
          </a:r>
          <a:r>
            <a:rPr lang="en-US" sz="1100" b="0" i="0" u="none" strike="noStrike" baseline="0">
              <a:solidFill>
                <a:srgbClr val="000000"/>
              </a:solidFill>
              <a:latin typeface="+mn-lt"/>
              <a:cs typeface="Arial"/>
            </a:rPr>
            <a:t>TR) . Here we explore two reasons why Ts increases more than TR when Ts is incremented:</a:t>
          </a:r>
        </a:p>
        <a:p>
          <a:pPr algn="l" rtl="0">
            <a:defRPr sz="1000"/>
          </a:pPr>
          <a:r>
            <a:rPr lang="en-US" sz="1100" b="0" i="0" u="none" strike="noStrike" baseline="0">
              <a:solidFill>
                <a:srgbClr val="000000"/>
              </a:solidFill>
              <a:latin typeface="+mn-lt"/>
              <a:cs typeface="Arial"/>
            </a:rPr>
            <a:t>    1. The concavity of T^4 (Holder's inequality) and the uneven distribution of local radiating temperature</a:t>
          </a:r>
        </a:p>
        <a:p>
          <a:pPr algn="l" rtl="0">
            <a:defRPr sz="1000"/>
          </a:pPr>
          <a:r>
            <a:rPr lang="en-US" sz="1100" b="0" i="0" u="none" strike="noStrike" baseline="0">
              <a:solidFill>
                <a:srgbClr val="000000"/>
              </a:solidFill>
              <a:latin typeface="+mn-lt"/>
              <a:cs typeface="Arial"/>
            </a:rPr>
            <a:t>        across the Earth's surface.</a:t>
          </a:r>
        </a:p>
        <a:p>
          <a:pPr algn="l" rtl="0">
            <a:defRPr sz="1000"/>
          </a:pPr>
          <a:r>
            <a:rPr lang="en-US" sz="1100" b="0" i="0" u="none" strike="noStrike" baseline="0">
              <a:solidFill>
                <a:srgbClr val="000000"/>
              </a:solidFill>
              <a:latin typeface="+mn-lt"/>
              <a:cs typeface="Arial"/>
            </a:rPr>
            <a:t>    2. The CO2 and ozone emission layers are mostly in the stratopshere, whose temperatures remain</a:t>
          </a:r>
        </a:p>
        <a:p>
          <a:pPr algn="l" rtl="0">
            <a:defRPr sz="1000"/>
          </a:pPr>
          <a:r>
            <a:rPr lang="en-US" sz="1100" b="0" i="0" u="none" strike="noStrike" baseline="0">
              <a:solidFill>
                <a:srgbClr val="000000"/>
              </a:solidFill>
              <a:latin typeface="+mn-lt"/>
              <a:cs typeface="Arial"/>
            </a:rPr>
            <a:t>        constant under the Planck conditions, so R and thus TR do not increase as much as they would if they </a:t>
          </a:r>
        </a:p>
        <a:p>
          <a:pPr algn="l" rtl="0">
            <a:defRPr sz="1000"/>
          </a:pPr>
          <a:r>
            <a:rPr lang="en-US" sz="1100" b="0" i="0" u="none" strike="noStrike" baseline="0">
              <a:solidFill>
                <a:srgbClr val="000000"/>
              </a:solidFill>
              <a:latin typeface="+mn-lt"/>
              <a:cs typeface="Arial"/>
            </a:rPr>
            <a:t>        were all in the troposhere and  increasing by the same as Ts. The CO2EL is complicated because  a </a:t>
          </a:r>
        </a:p>
        <a:p>
          <a:pPr algn="l" rtl="0">
            <a:defRPr sz="1000"/>
          </a:pPr>
          <a:r>
            <a:rPr lang="en-US" sz="1100" b="0" i="0" u="none" strike="noStrike" baseline="0">
              <a:solidFill>
                <a:srgbClr val="000000"/>
              </a:solidFill>
              <a:latin typeface="+mn-lt"/>
              <a:cs typeface="Arial"/>
            </a:rPr>
            <a:t>        significant part of it, the wings of the 15 um bite, are in the tropsphere. The Planck conditions do not </a:t>
          </a:r>
        </a:p>
        <a:p>
          <a:pPr algn="l" rtl="0">
            <a:defRPr sz="1000"/>
          </a:pPr>
          <a:r>
            <a:rPr lang="en-US" sz="1100" b="0" i="0" u="none" strike="noStrike" baseline="0">
              <a:solidFill>
                <a:srgbClr val="000000"/>
              </a:solidFill>
              <a:latin typeface="+mn-lt"/>
              <a:cs typeface="Arial"/>
            </a:rPr>
            <a:t>        specify what happens around the  tropospause (the recipe of "holding all else constant" is inherently </a:t>
          </a:r>
        </a:p>
        <a:p>
          <a:pPr algn="l" rtl="0">
            <a:defRPr sz="1000"/>
          </a:pPr>
          <a:r>
            <a:rPr lang="en-US" sz="1100" b="0" i="0" u="none" strike="noStrike" baseline="0">
              <a:solidFill>
                <a:srgbClr val="000000"/>
              </a:solidFill>
              <a:latin typeface="+mn-lt"/>
              <a:cs typeface="Arial"/>
            </a:rPr>
            <a:t>        unsatisfactory  because "everything depends on everything in climate") , but</a:t>
          </a:r>
        </a:p>
        <a:p>
          <a:pPr algn="l" rtl="0">
            <a:defRPr sz="1000"/>
          </a:pPr>
          <a:r>
            <a:rPr lang="en-US" sz="1100" b="0" i="0" u="none" strike="noStrike" baseline="0">
              <a:solidFill>
                <a:srgbClr val="000000"/>
              </a:solidFill>
              <a:latin typeface="+mn-lt"/>
              <a:cs typeface="Arial"/>
            </a:rPr>
            <a:t>        we use the value of tauC from the OLR model (</a:t>
          </a:r>
          <a:r>
            <a:rPr lang="el-GR" sz="1100" b="0" i="0" u="none" strike="noStrike" baseline="0">
              <a:solidFill>
                <a:srgbClr val="000000"/>
              </a:solidFill>
              <a:latin typeface="+mn-lt"/>
              <a:cs typeface="Arial"/>
            </a:rPr>
            <a:t>τ</a:t>
          </a:r>
          <a:r>
            <a:rPr lang="en-US" sz="1000" b="0" i="0" baseline="-25000">
              <a:effectLst/>
              <a:latin typeface="+mn-lt"/>
              <a:ea typeface="+mn-ea"/>
              <a:cs typeface="+mn-cs"/>
            </a:rPr>
            <a:t>C </a:t>
          </a:r>
          <a:r>
            <a:rPr lang="en-US" sz="1100" b="0" i="0" u="none" strike="noStrike" baseline="0">
              <a:solidFill>
                <a:srgbClr val="000000"/>
              </a:solidFill>
              <a:latin typeface="+mn-lt"/>
              <a:cs typeface="Arial"/>
            </a:rPr>
            <a:t>= </a:t>
          </a:r>
          <a:r>
            <a:rPr lang="el-GR" sz="1100" b="0" i="0" baseline="0">
              <a:effectLst/>
              <a:latin typeface="+mn-lt"/>
              <a:ea typeface="+mn-ea"/>
              <a:cs typeface="+mn-cs"/>
            </a:rPr>
            <a:t>δ</a:t>
          </a:r>
          <a:r>
            <a:rPr lang="en-US" sz="1100" b="0" i="0" baseline="0">
              <a:effectLst/>
              <a:latin typeface="+mn-lt"/>
              <a:ea typeface="+mn-ea"/>
              <a:cs typeface="+mn-cs"/>
            </a:rPr>
            <a:t>R</a:t>
          </a:r>
          <a:r>
            <a:rPr lang="en-US" sz="1100" b="0" i="0" baseline="-25000">
              <a:effectLst/>
              <a:latin typeface="+mn-lt"/>
              <a:ea typeface="+mn-ea"/>
              <a:cs typeface="+mn-cs"/>
            </a:rPr>
            <a:t>C</a:t>
          </a:r>
          <a:r>
            <a:rPr lang="en-US" sz="1100" b="0" i="0" baseline="0">
              <a:effectLst/>
              <a:latin typeface="+mn-lt"/>
              <a:ea typeface="+mn-ea"/>
              <a:cs typeface="+mn-cs"/>
            </a:rPr>
            <a:t> / </a:t>
          </a:r>
          <a:r>
            <a:rPr lang="el-GR" sz="1100" b="0" i="0" baseline="0">
              <a:effectLst/>
              <a:latin typeface="+mn-lt"/>
              <a:ea typeface="+mn-ea"/>
              <a:cs typeface="+mn-cs"/>
            </a:rPr>
            <a:t>δ</a:t>
          </a:r>
          <a:r>
            <a:rPr lang="en-US" sz="1100" b="0" i="0" baseline="0">
              <a:effectLst/>
              <a:latin typeface="+mn-lt"/>
              <a:ea typeface="+mn-ea"/>
              <a:cs typeface="+mn-cs"/>
            </a:rPr>
            <a:t>T</a:t>
          </a:r>
          <a:r>
            <a:rPr lang="en-US" sz="1100" b="0" i="0" baseline="-25000">
              <a:effectLst/>
              <a:latin typeface="+mn-lt"/>
              <a:ea typeface="+mn-ea"/>
              <a:cs typeface="+mn-cs"/>
            </a:rPr>
            <a:t>S</a:t>
          </a:r>
          <a:r>
            <a:rPr lang="en-US" sz="1100" b="0" i="0" baseline="0">
              <a:effectLst/>
              <a:latin typeface="+mn-lt"/>
              <a:ea typeface="+mn-ea"/>
              <a:cs typeface="+mn-cs"/>
            </a:rPr>
            <a:t>)</a:t>
          </a:r>
          <a:r>
            <a:rPr lang="en-US" sz="1100" b="0" i="0" u="none" strike="noStrike" baseline="0">
              <a:solidFill>
                <a:srgbClr val="000000"/>
              </a:solidFill>
              <a:latin typeface="+mn-lt"/>
              <a:cs typeface="Arial"/>
            </a:rPr>
            <a:t>. The ozone layer is modelled as entirely in the </a:t>
          </a:r>
        </a:p>
        <a:p>
          <a:pPr algn="l" rtl="0">
            <a:defRPr sz="1000"/>
          </a:pPr>
          <a:r>
            <a:rPr lang="en-US" sz="1100" b="0" i="0" u="none" strike="noStrike" baseline="0">
              <a:solidFill>
                <a:srgbClr val="000000"/>
              </a:solidFill>
              <a:latin typeface="+mn-lt"/>
              <a:cs typeface="Arial"/>
            </a:rPr>
            <a:t>        stratopshere. (The other emission layers are all in the troposphere and roughly follow  lines of contant </a:t>
          </a:r>
        </a:p>
        <a:p>
          <a:pPr algn="l" rtl="0">
            <a:defRPr sz="1000"/>
          </a:pPr>
          <a:r>
            <a:rPr lang="en-US" sz="1100" b="0" i="0" u="none" strike="noStrike" baseline="0">
              <a:solidFill>
                <a:srgbClr val="000000"/>
              </a:solidFill>
              <a:latin typeface="+mn-lt"/>
              <a:cs typeface="Arial"/>
            </a:rPr>
            <a:t>        temperature in the emission spectrum (albeit truncated), so they approximately obey the SB law.)</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F. On this sheet we  estimate that difference between the Planck and SB sensitivities by incrementing Ts under the Planck conditions. It is assumed that at a given (latitude , longitude, time), the change in local radiating temperature is the same as the change in Ts.</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G. Surface temperature with latitude: </a:t>
          </a:r>
        </a:p>
        <a:p>
          <a:pPr algn="l" rtl="0">
            <a:defRPr sz="1000"/>
          </a:pPr>
          <a:r>
            <a:rPr lang="en-US" sz="1100" b="0" i="0" u="none" strike="noStrike" baseline="0">
              <a:solidFill>
                <a:srgbClr val="000000"/>
              </a:solidFill>
              <a:latin typeface="+mn-lt"/>
              <a:cs typeface="Arial"/>
            </a:rPr>
            <a:t>    http://www.globalwarmingart.com/wiki/File:Temperature_versus_Latitude_png</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H. </a:t>
          </a:r>
          <a:r>
            <a:rPr lang="en-US" sz="1100" b="0" i="0" baseline="0">
              <a:effectLst/>
              <a:latin typeface="+mn-lt"/>
              <a:ea typeface="+mn-ea"/>
              <a:cs typeface="+mn-cs"/>
            </a:rPr>
            <a:t>Surface temperature with time of day:</a:t>
          </a: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    Shape of function:  http://apollo.lsc.vsc.edu/classes/met130/notes/chapter3/daily_trend4.html   </a:t>
          </a:r>
        </a:p>
        <a:p>
          <a:pPr algn="l" rtl="0">
            <a:defRPr sz="1000"/>
          </a:pPr>
          <a:r>
            <a:rPr lang="en-US" sz="1100" b="0" i="0" u="none" strike="noStrike" baseline="0">
              <a:solidFill>
                <a:srgbClr val="000000"/>
              </a:solidFill>
              <a:latin typeface="+mn-lt"/>
              <a:cs typeface="Arial"/>
            </a:rPr>
            <a:t>    Temp range:  http://www.physicalgeography.net/fundamentals/7v.html     + guess about 14 K</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I. Surface temperature with  season:</a:t>
          </a:r>
        </a:p>
        <a:p>
          <a:pPr algn="l" rtl="0">
            <a:defRPr sz="1000"/>
          </a:pPr>
          <a:r>
            <a:rPr lang="en-US" sz="1100" b="0" i="0" u="none" strike="noStrike" baseline="0">
              <a:solidFill>
                <a:srgbClr val="000000"/>
              </a:solidFill>
              <a:latin typeface="+mn-lt"/>
              <a:cs typeface="Arial"/>
            </a:rPr>
            <a:t>    http://en.wikipedia.org/wiki/File:Jones_et_al._Surface_air_temperature.jpg</a:t>
          </a:r>
          <a:endParaRPr lang="en-US" sz="1100" baseline="0"/>
        </a:p>
        <a:p>
          <a:pPr algn="l" rtl="0">
            <a:defRPr sz="1000"/>
          </a:pPr>
          <a:endParaRPr lang="en-US" sz="1100" baseline="0"/>
        </a:p>
        <a:p>
          <a:pPr algn="l" rtl="0">
            <a:defRPr sz="1000"/>
          </a:pPr>
          <a:r>
            <a:rPr lang="en-US" sz="1100" baseline="0"/>
            <a:t>J. Surface temperature with  emission layer:</a:t>
          </a:r>
        </a:p>
        <a:p>
          <a:pPr algn="l" rtl="0">
            <a:defRPr sz="1000"/>
          </a:pPr>
          <a:r>
            <a:rPr lang="en-US" sz="1100" baseline="0"/>
            <a:t>     See the OLR Model, from which we import  tauC.</a:t>
          </a:r>
        </a:p>
        <a:p>
          <a:pPr algn="l" rtl="0">
            <a:defRPr sz="1000"/>
          </a:pPr>
          <a:endParaRPr lang="en-US" sz="1100" baseline="0"/>
        </a:p>
        <a:p>
          <a:pPr algn="l" rtl="0">
            <a:defRPr sz="1000"/>
          </a:pPr>
          <a:r>
            <a:rPr lang="en-US" sz="1100"/>
            <a:t>K. The estimates of the initial values (before incrementing) </a:t>
          </a:r>
          <a:r>
            <a:rPr lang="en-US" sz="1100" baseline="0"/>
            <a:t> </a:t>
          </a:r>
          <a:r>
            <a:rPr lang="en-US" sz="1100"/>
            <a:t>are a little rough, but this is not of</a:t>
          </a:r>
        </a:p>
        <a:p>
          <a:pPr algn="l" rtl="0">
            <a:defRPr sz="1000"/>
          </a:pPr>
          <a:r>
            <a:rPr lang="en-US" sz="1100" b="0" i="0" u="none" strike="noStrike" baseline="0">
              <a:solidFill>
                <a:srgbClr val="000000"/>
              </a:solidFill>
              <a:latin typeface="+mn-lt"/>
              <a:cs typeface="Arial"/>
            </a:rPr>
            <a:t>    much consequence because it is only the dfferences  between the incremented situation and the </a:t>
          </a:r>
        </a:p>
        <a:p>
          <a:pPr algn="l" rtl="0">
            <a:defRPr sz="1000"/>
          </a:pPr>
          <a:r>
            <a:rPr lang="en-US" sz="1100" b="0" i="0" u="none" strike="noStrike" baseline="0">
              <a:solidFill>
                <a:srgbClr val="000000"/>
              </a:solidFill>
              <a:latin typeface="+mn-lt"/>
              <a:cs typeface="Arial"/>
            </a:rPr>
            <a:t>    original that contribute to the results, to first order. </a:t>
          </a:r>
        </a:p>
      </xdr:txBody>
    </xdr:sp>
    <xdr:clientData/>
  </xdr:twoCellAnchor>
  <xdr:twoCellAnchor>
    <xdr:from>
      <xdr:col>14</xdr:col>
      <xdr:colOff>314325</xdr:colOff>
      <xdr:row>61</xdr:row>
      <xdr:rowOff>19046</xdr:rowOff>
    </xdr:from>
    <xdr:to>
      <xdr:col>24</xdr:col>
      <xdr:colOff>333374</xdr:colOff>
      <xdr:row>82</xdr:row>
      <xdr:rowOff>57150</xdr:rowOff>
    </xdr:to>
    <xdr:sp macro="" textlink="">
      <xdr:nvSpPr>
        <xdr:cNvPr id="3" name="Text ClimateModels"/>
        <xdr:cNvSpPr txBox="1">
          <a:spLocks noChangeArrowheads="1"/>
        </xdr:cNvSpPr>
      </xdr:nvSpPr>
      <xdr:spPr bwMode="auto">
        <a:xfrm>
          <a:off x="10125075" y="10363196"/>
          <a:ext cx="6400799" cy="3686179"/>
        </a:xfrm>
        <a:prstGeom prst="rect">
          <a:avLst/>
        </a:prstGeom>
        <a:solidFill>
          <a:srgbClr val="CCFFCC"/>
        </a:solidFill>
        <a:ln w="9525">
          <a:solidFill>
            <a:srgbClr val="000000"/>
          </a:solidFill>
          <a:miter lim="800000"/>
          <a:headEnd/>
          <a:tailEnd/>
        </a:ln>
      </xdr:spPr>
      <xdr:txBody>
        <a:bodyPr vertOverflow="clip" wrap="square" lIns="36576" tIns="27432" rIns="0" bIns="0" anchor="t"/>
        <a:lstStyle/>
        <a:p>
          <a:pPr algn="l" rtl="0">
            <a:defRPr sz="1000"/>
          </a:pPr>
          <a:r>
            <a:rPr lang="en-US" sz="1200" b="1" i="0" u="none" strike="noStrike" baseline="0">
              <a:solidFill>
                <a:srgbClr val="000000"/>
              </a:solidFill>
              <a:latin typeface="+mn-lt"/>
              <a:cs typeface="Arial"/>
            </a:rPr>
            <a:t>Conclusions</a:t>
          </a:r>
          <a:endParaRPr lang="en-US" sz="1100" baseline="0"/>
        </a:p>
        <a:p>
          <a:pPr algn="l" rtl="0">
            <a:defRPr sz="1000"/>
          </a:pPr>
          <a:r>
            <a:rPr lang="en-US" sz="1100" baseline="0"/>
            <a:t>1. The SB sensitivity is confirmed numerically as equal to the slope of the curve in the SB law, namely 0.267 K per W/m2. (The SB sensitivity calculated here converges with the slope as the temperatures increments vanish.)</a:t>
          </a:r>
        </a:p>
        <a:p>
          <a:pPr algn="l" rtl="0">
            <a:defRPr sz="1000"/>
          </a:pPr>
          <a:endParaRPr lang="en-US" sz="1000" b="0" i="0" u="none" strike="noStrike" baseline="0">
            <a:solidFill>
              <a:srgbClr val="000000"/>
            </a:solidFill>
            <a:effectLst/>
            <a:latin typeface="+mn-lt"/>
            <a:ea typeface="+mn-ea"/>
            <a:cs typeface="+mn-cs"/>
          </a:endParaRPr>
        </a:p>
        <a:p>
          <a:pPr algn="l" rtl="0">
            <a:defRPr sz="1000"/>
          </a:pPr>
          <a:r>
            <a:rPr lang="en-US" sz="1100" b="0" i="0" u="none" strike="noStrike" baseline="0">
              <a:solidFill>
                <a:srgbClr val="000000"/>
              </a:solidFill>
              <a:latin typeface="+mn-lt"/>
              <a:cs typeface="Arial"/>
            </a:rPr>
            <a:t>2. The Planck sensitivity is calculated here as 0.31 K per W/m2, which agrees with the climate models. It is calcauted here as 15.8% higher than the SB sensitivity.</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3. That 15.8% consists of:</a:t>
          </a:r>
        </a:p>
        <a:p>
          <a:pPr algn="l" rtl="0">
            <a:defRPr sz="1000"/>
          </a:pPr>
          <a:r>
            <a:rPr lang="en-US" sz="1100" b="0" i="0" u="none" strike="noStrike" baseline="0">
              <a:solidFill>
                <a:srgbClr val="000000"/>
              </a:solidFill>
              <a:latin typeface="+mn-lt"/>
              <a:cs typeface="Arial"/>
            </a:rPr>
            <a:t>      a. 14.4% for the non-SB nature of the CO2EL and the ozone emissions  layer, which are largely in the </a:t>
          </a:r>
        </a:p>
        <a:p>
          <a:pPr algn="l" rtl="0">
            <a:defRPr sz="1000"/>
          </a:pPr>
          <a:r>
            <a:rPr lang="en-US" sz="1100" b="0" i="0" u="none" strike="noStrike" baseline="0">
              <a:solidFill>
                <a:srgbClr val="000000"/>
              </a:solidFill>
              <a:latin typeface="+mn-lt"/>
              <a:cs typeface="Arial"/>
            </a:rPr>
            <a:t>           stratophere (the parts in the stratosphere do not emit more OLR as the surface warms because the</a:t>
          </a:r>
        </a:p>
        <a:p>
          <a:pPr algn="l" rtl="0">
            <a:defRPr sz="1000"/>
          </a:pPr>
          <a:r>
            <a:rPr lang="en-US" sz="1100" b="0" i="0" u="none" strike="noStrike" baseline="0">
              <a:solidFill>
                <a:srgbClr val="000000"/>
              </a:solidFill>
              <a:latin typeface="+mn-lt"/>
              <a:cs typeface="Arial"/>
            </a:rPr>
            <a:t>           stratospheric temperatures remain constant under the Planck conditions).</a:t>
          </a:r>
        </a:p>
        <a:p>
          <a:pPr algn="l" rtl="0">
            <a:defRPr sz="1000"/>
          </a:pPr>
          <a:r>
            <a:rPr lang="en-US" sz="1100" b="0" i="0" u="none" strike="noStrike" baseline="0">
              <a:solidFill>
                <a:srgbClr val="000000"/>
              </a:solidFill>
              <a:latin typeface="+mn-lt"/>
              <a:cs typeface="Arial"/>
            </a:rPr>
            <a:t>      b. 1.4% for the non-uniform temperature distribution  and the concavity of the T^4 function:</a:t>
          </a:r>
        </a:p>
        <a:p>
          <a:pPr algn="l" rtl="0">
            <a:defRPr sz="1000"/>
          </a:pPr>
          <a:r>
            <a:rPr lang="en-US" sz="1100" b="0" i="0" u="none" strike="noStrike" baseline="0">
              <a:solidFill>
                <a:srgbClr val="000000"/>
              </a:solidFill>
              <a:latin typeface="+mn-lt"/>
              <a:cs typeface="Arial"/>
            </a:rPr>
            <a:t>               latitude                0.36 %</a:t>
          </a:r>
        </a:p>
        <a:p>
          <a:pPr algn="l" rtl="0">
            <a:defRPr sz="1000"/>
          </a:pPr>
          <a:r>
            <a:rPr lang="en-US" sz="1100" b="0" i="0" u="none" strike="noStrike" baseline="0">
              <a:solidFill>
                <a:srgbClr val="000000"/>
              </a:solidFill>
              <a:latin typeface="+mn-lt"/>
              <a:cs typeface="Arial"/>
            </a:rPr>
            <a:t>               time of day          0.04 %</a:t>
          </a:r>
        </a:p>
        <a:p>
          <a:pPr algn="l" rtl="0">
            <a:defRPr sz="1000"/>
          </a:pPr>
          <a:r>
            <a:rPr lang="en-US" sz="1100" b="0" i="0" u="none" strike="noStrike" baseline="0">
              <a:solidFill>
                <a:srgbClr val="000000"/>
              </a:solidFill>
              <a:latin typeface="+mn-lt"/>
              <a:cs typeface="Arial"/>
            </a:rPr>
            <a:t>               seasons                0.03 %</a:t>
          </a:r>
        </a:p>
        <a:p>
          <a:pPr algn="l" rtl="0">
            <a:defRPr sz="1000"/>
          </a:pPr>
          <a:r>
            <a:rPr lang="en-US" sz="1100" b="0" i="0" u="none" strike="noStrike" baseline="0">
              <a:solidFill>
                <a:srgbClr val="000000"/>
              </a:solidFill>
              <a:latin typeface="+mn-lt"/>
              <a:cs typeface="Arial"/>
            </a:rPr>
            <a:t>               emitting layers   0.97 % (treat the CO2 and ozone EL s as SB emitters, see switch in cell C117).</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4. The concavity factor of 1.4% may be regarded as due to moving from a 0-D model to a climate model, a correction factor for the non-uniformity of the temperature distribution. </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6</xdr:col>
      <xdr:colOff>304800</xdr:colOff>
      <xdr:row>39</xdr:row>
      <xdr:rowOff>133351</xdr:rowOff>
    </xdr:from>
    <xdr:ext cx="5943600" cy="4114800"/>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mc:AlternateContent xmlns:mc="http://schemas.openxmlformats.org/markup-compatibility/2006">
    <mc:Choice xmlns:a14="http://schemas.microsoft.com/office/drawing/2010/main" Requires="a14">
      <xdr:twoCellAnchor editAs="oneCell">
        <xdr:from>
          <xdr:col>1</xdr:col>
          <xdr:colOff>314325</xdr:colOff>
          <xdr:row>12</xdr:row>
          <xdr:rowOff>9525</xdr:rowOff>
        </xdr:from>
        <xdr:to>
          <xdr:col>1</xdr:col>
          <xdr:colOff>828675</xdr:colOff>
          <xdr:row>12</xdr:row>
          <xdr:rowOff>266700</xdr:rowOff>
        </xdr:to>
        <xdr:sp macro="" textlink="">
          <xdr:nvSpPr>
            <xdr:cNvPr id="5167" name="Object 47" hidden="1">
              <a:extLst>
                <a:ext uri="{63B3BB69-23CF-44E3-9099-C40C66FF867C}">
                  <a14:compatExt spid="_x0000_s5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13</xdr:row>
          <xdr:rowOff>9525</xdr:rowOff>
        </xdr:from>
        <xdr:to>
          <xdr:col>1</xdr:col>
          <xdr:colOff>828675</xdr:colOff>
          <xdr:row>13</xdr:row>
          <xdr:rowOff>266700</xdr:rowOff>
        </xdr:to>
        <xdr:sp macro="" textlink="">
          <xdr:nvSpPr>
            <xdr:cNvPr id="5168" name="Object 48" hidden="1">
              <a:extLst>
                <a:ext uri="{63B3BB69-23CF-44E3-9099-C40C66FF867C}">
                  <a14:compatExt spid="_x0000_s5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514350</xdr:colOff>
          <xdr:row>16</xdr:row>
          <xdr:rowOff>9525</xdr:rowOff>
        </xdr:from>
        <xdr:to>
          <xdr:col>2</xdr:col>
          <xdr:colOff>0</xdr:colOff>
          <xdr:row>18</xdr:row>
          <xdr:rowOff>0</xdr:rowOff>
        </xdr:to>
        <xdr:sp macro="" textlink="">
          <xdr:nvSpPr>
            <xdr:cNvPr id="5213" name="Object 93" hidden="1">
              <a:extLst>
                <a:ext uri="{63B3BB69-23CF-44E3-9099-C40C66FF867C}">
                  <a14:compatExt spid="_x0000_s5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26</xdr:row>
          <xdr:rowOff>133350</xdr:rowOff>
        </xdr:from>
        <xdr:to>
          <xdr:col>12</xdr:col>
          <xdr:colOff>123825</xdr:colOff>
          <xdr:row>30</xdr:row>
          <xdr:rowOff>114300</xdr:rowOff>
        </xdr:to>
        <xdr:sp macro="" textlink="">
          <xdr:nvSpPr>
            <xdr:cNvPr id="5216" name="Object 96" hidden="1">
              <a:extLst>
                <a:ext uri="{63B3BB69-23CF-44E3-9099-C40C66FF867C}">
                  <a14:compatExt spid="_x0000_s5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25</xdr:row>
          <xdr:rowOff>85725</xdr:rowOff>
        </xdr:from>
        <xdr:to>
          <xdr:col>2</xdr:col>
          <xdr:colOff>571500</xdr:colOff>
          <xdr:row>25</xdr:row>
          <xdr:rowOff>323850</xdr:rowOff>
        </xdr:to>
        <xdr:sp macro="" textlink="">
          <xdr:nvSpPr>
            <xdr:cNvPr id="5217" name="Object 97" hidden="1">
              <a:extLst>
                <a:ext uri="{63B3BB69-23CF-44E3-9099-C40C66FF867C}">
                  <a14:compatExt spid="_x0000_s5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25</xdr:row>
          <xdr:rowOff>57150</xdr:rowOff>
        </xdr:from>
        <xdr:to>
          <xdr:col>3</xdr:col>
          <xdr:colOff>704850</xdr:colOff>
          <xdr:row>25</xdr:row>
          <xdr:rowOff>333375</xdr:rowOff>
        </xdr:to>
        <xdr:sp macro="" textlink="">
          <xdr:nvSpPr>
            <xdr:cNvPr id="5218" name="Object 98" hidden="1">
              <a:extLst>
                <a:ext uri="{63B3BB69-23CF-44E3-9099-C40C66FF867C}">
                  <a14:compatExt spid="_x0000_s5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32</xdr:row>
          <xdr:rowOff>38100</xdr:rowOff>
        </xdr:from>
        <xdr:to>
          <xdr:col>12</xdr:col>
          <xdr:colOff>600075</xdr:colOff>
          <xdr:row>34</xdr:row>
          <xdr:rowOff>28575</xdr:rowOff>
        </xdr:to>
        <xdr:sp macro="" textlink="">
          <xdr:nvSpPr>
            <xdr:cNvPr id="5220" name="Object 100" hidden="1">
              <a:extLst>
                <a:ext uri="{63B3BB69-23CF-44E3-9099-C40C66FF867C}">
                  <a14:compatExt spid="_x0000_s5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25</xdr:row>
          <xdr:rowOff>142875</xdr:rowOff>
        </xdr:from>
        <xdr:to>
          <xdr:col>0</xdr:col>
          <xdr:colOff>361950</xdr:colOff>
          <xdr:row>25</xdr:row>
          <xdr:rowOff>314325</xdr:rowOff>
        </xdr:to>
        <xdr:sp macro="" textlink="">
          <xdr:nvSpPr>
            <xdr:cNvPr id="5221" name="Object 101" hidden="1">
              <a:extLst>
                <a:ext uri="{63B3BB69-23CF-44E3-9099-C40C66FF867C}">
                  <a14:compatExt spid="_x0000_s5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25</xdr:row>
          <xdr:rowOff>95250</xdr:rowOff>
        </xdr:from>
        <xdr:to>
          <xdr:col>1</xdr:col>
          <xdr:colOff>523875</xdr:colOff>
          <xdr:row>25</xdr:row>
          <xdr:rowOff>323850</xdr:rowOff>
        </xdr:to>
        <xdr:sp macro="" textlink="">
          <xdr:nvSpPr>
            <xdr:cNvPr id="5225" name="Object 105" hidden="1">
              <a:extLst>
                <a:ext uri="{63B3BB69-23CF-44E3-9099-C40C66FF867C}">
                  <a14:compatExt spid="_x0000_s5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25</xdr:row>
          <xdr:rowOff>142875</xdr:rowOff>
        </xdr:from>
        <xdr:to>
          <xdr:col>5</xdr:col>
          <xdr:colOff>447675</xdr:colOff>
          <xdr:row>25</xdr:row>
          <xdr:rowOff>314325</xdr:rowOff>
        </xdr:to>
        <xdr:sp macro="" textlink="">
          <xdr:nvSpPr>
            <xdr:cNvPr id="5226" name="Object 106" hidden="1">
              <a:extLst>
                <a:ext uri="{63B3BB69-23CF-44E3-9099-C40C66FF867C}">
                  <a14:compatExt spid="_x0000_s5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25</xdr:row>
          <xdr:rowOff>85725</xdr:rowOff>
        </xdr:from>
        <xdr:to>
          <xdr:col>7</xdr:col>
          <xdr:colOff>561975</xdr:colOff>
          <xdr:row>25</xdr:row>
          <xdr:rowOff>333375</xdr:rowOff>
        </xdr:to>
        <xdr:sp macro="" textlink="">
          <xdr:nvSpPr>
            <xdr:cNvPr id="5229" name="Object 109" hidden="1">
              <a:extLst>
                <a:ext uri="{63B3BB69-23CF-44E3-9099-C40C66FF867C}">
                  <a14:compatExt spid="_x0000_s5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25</xdr:row>
          <xdr:rowOff>95250</xdr:rowOff>
        </xdr:from>
        <xdr:to>
          <xdr:col>6</xdr:col>
          <xdr:colOff>523875</xdr:colOff>
          <xdr:row>25</xdr:row>
          <xdr:rowOff>323850</xdr:rowOff>
        </xdr:to>
        <xdr:sp macro="" textlink="">
          <xdr:nvSpPr>
            <xdr:cNvPr id="5230" name="Object 110" hidden="1">
              <a:extLst>
                <a:ext uri="{63B3BB69-23CF-44E3-9099-C40C66FF867C}">
                  <a14:compatExt spid="_x0000_s5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40</xdr:row>
          <xdr:rowOff>66675</xdr:rowOff>
        </xdr:from>
        <xdr:to>
          <xdr:col>0</xdr:col>
          <xdr:colOff>523875</xdr:colOff>
          <xdr:row>40</xdr:row>
          <xdr:rowOff>314325</xdr:rowOff>
        </xdr:to>
        <xdr:sp macro="" textlink="">
          <xdr:nvSpPr>
            <xdr:cNvPr id="5231" name="Object 111" hidden="1">
              <a:extLst>
                <a:ext uri="{63B3BB69-23CF-44E3-9099-C40C66FF867C}">
                  <a14:compatExt spid="_x0000_s5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42</xdr:row>
          <xdr:rowOff>47625</xdr:rowOff>
        </xdr:from>
        <xdr:to>
          <xdr:col>0</xdr:col>
          <xdr:colOff>504825</xdr:colOff>
          <xdr:row>43</xdr:row>
          <xdr:rowOff>0</xdr:rowOff>
        </xdr:to>
        <xdr:sp macro="" textlink="">
          <xdr:nvSpPr>
            <xdr:cNvPr id="5232" name="Object 112" hidden="1">
              <a:extLst>
                <a:ext uri="{63B3BB69-23CF-44E3-9099-C40C66FF867C}">
                  <a14:compatExt spid="_x0000_s5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43</xdr:row>
          <xdr:rowOff>0</xdr:rowOff>
        </xdr:from>
        <xdr:to>
          <xdr:col>0</xdr:col>
          <xdr:colOff>495300</xdr:colOff>
          <xdr:row>44</xdr:row>
          <xdr:rowOff>19050</xdr:rowOff>
        </xdr:to>
        <xdr:sp macro="" textlink="">
          <xdr:nvSpPr>
            <xdr:cNvPr id="5234" name="Object 114" hidden="1">
              <a:extLst>
                <a:ext uri="{63B3BB69-23CF-44E3-9099-C40C66FF867C}">
                  <a14:compatExt spid="_x0000_s5234"/>
                </a:ext>
              </a:extLst>
            </xdr:cNvPr>
            <xdr:cNvSpPr/>
          </xdr:nvSpPr>
          <xdr:spPr>
            <a:xfrm>
              <a:off x="0" y="0"/>
              <a:ext cx="0" cy="0"/>
            </a:xfrm>
            <a:prstGeom prst="rect">
              <a:avLst/>
            </a:prstGeom>
          </xdr:spPr>
        </xdr:sp>
        <xdr:clientData/>
      </xdr:twoCellAnchor>
    </mc:Choice>
    <mc:Fallback/>
  </mc:AlternateContent>
</xdr:wsDr>
</file>

<file path=xl/drawings/drawing5.xml><?xml version="1.0" encoding="utf-8"?>
<c:userShapes xmlns:c="http://schemas.openxmlformats.org/drawingml/2006/chart">
  <cdr:relSizeAnchor xmlns:cdr="http://schemas.openxmlformats.org/drawingml/2006/chartDrawing">
    <cdr:from>
      <cdr:x>0.41286</cdr:x>
      <cdr:y>0.8966</cdr:y>
    </cdr:from>
    <cdr:to>
      <cdr:x>0.41286</cdr:x>
      <cdr:y>0.93981</cdr:y>
    </cdr:to>
    <cdr:cxnSp macro="">
      <cdr:nvCxnSpPr>
        <cdr:cNvPr id="56" name="Straight Connector 15"/>
        <cdr:cNvCxnSpPr/>
      </cdr:nvCxnSpPr>
      <cdr:spPr>
        <a:xfrm xmlns:a="http://schemas.openxmlformats.org/drawingml/2006/main">
          <a:off x="2453853" y="3689349"/>
          <a:ext cx="0" cy="177801"/>
        </a:xfrm>
        <a:prstGeom xmlns:a="http://schemas.openxmlformats.org/drawingml/2006/main" prst="line">
          <a:avLst/>
        </a:prstGeom>
        <a:ln xmlns:a="http://schemas.openxmlformats.org/drawingml/2006/main" w="6350">
          <a:solidFill>
            <a:srgbClr val="6600CC"/>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0.21154</cdr:x>
      <cdr:y>0.09286</cdr:y>
    </cdr:from>
    <cdr:to>
      <cdr:x>0.64607</cdr:x>
      <cdr:y>0.26929</cdr:y>
    </cdr:to>
    <cdr:sp macro="" textlink="">
      <cdr:nvSpPr>
        <cdr:cNvPr id="5" name="TextBox 4"/>
        <cdr:cNvSpPr txBox="1"/>
      </cdr:nvSpPr>
      <cdr:spPr>
        <a:xfrm xmlns:a="http://schemas.openxmlformats.org/drawingml/2006/main">
          <a:off x="1257300" y="382100"/>
          <a:ext cx="2582682" cy="725974"/>
        </a:xfrm>
        <a:prstGeom xmlns:a="http://schemas.openxmlformats.org/drawingml/2006/main" prst="rect">
          <a:avLst/>
        </a:prstGeom>
        <a:solidFill xmlns:a="http://schemas.openxmlformats.org/drawingml/2006/main">
          <a:srgbClr val="FFFFFF"/>
        </a:solidFill>
      </cdr:spPr>
      <cdr:txBody>
        <a:bodyPr xmlns:a="http://schemas.openxmlformats.org/drawingml/2006/main" vertOverflow="clip" wrap="square" lIns="0" tIns="0" rIns="0" bIns="0" rtlCol="0"/>
        <a:lstStyle xmlns:a="http://schemas.openxmlformats.org/drawingml/2006/main"/>
        <a:p xmlns:a="http://schemas.openxmlformats.org/drawingml/2006/main">
          <a:pPr algn="r"/>
          <a:r>
            <a:rPr lang="en-US" sz="1100">
              <a:solidFill>
                <a:srgbClr val="006600"/>
              </a:solidFill>
            </a:rPr>
            <a:t>WVEL </a:t>
          </a:r>
          <a:r>
            <a:rPr lang="en-US" sz="1100" baseline="0">
              <a:solidFill>
                <a:srgbClr val="006600"/>
              </a:solidFill>
            </a:rPr>
            <a:t>ascends ~800m.</a:t>
          </a:r>
        </a:p>
        <a:p xmlns:a="http://schemas.openxmlformats.org/drawingml/2006/main">
          <a:pPr algn="r"/>
          <a:r>
            <a:rPr lang="en-US" sz="1100" baseline="0">
              <a:solidFill>
                <a:srgbClr val="006600"/>
              </a:solidFill>
            </a:rPr>
            <a:t>ECS ~3°C.</a:t>
          </a:r>
        </a:p>
        <a:p xmlns:a="http://schemas.openxmlformats.org/drawingml/2006/main">
          <a:pPr algn="r"/>
          <a:r>
            <a:rPr lang="en-US" sz="1100" baseline="0">
              <a:solidFill>
                <a:srgbClr val="006600"/>
              </a:solidFill>
            </a:rPr>
            <a:t>8</a:t>
          </a:r>
          <a:r>
            <a:rPr lang="en-US" sz="1100" baseline="0">
              <a:solidFill>
                <a:srgbClr val="008000"/>
              </a:solidFill>
            </a:rPr>
            <a:t>0% of warming due to CO</a:t>
          </a:r>
          <a:r>
            <a:rPr lang="en-US" sz="1100" baseline="-25000">
              <a:solidFill>
                <a:srgbClr val="008000"/>
              </a:solidFill>
            </a:rPr>
            <a:t>2</a:t>
          </a:r>
          <a:r>
            <a:rPr lang="en-US" sz="1100" baseline="0">
              <a:solidFill>
                <a:srgbClr val="008000"/>
              </a:solidFill>
            </a:rPr>
            <a:t>.</a:t>
          </a:r>
        </a:p>
        <a:p xmlns:a="http://schemas.openxmlformats.org/drawingml/2006/main">
          <a:pPr algn="r"/>
          <a:r>
            <a:rPr lang="en-US" sz="1100" baseline="0">
              <a:solidFill>
                <a:srgbClr val="008000"/>
              </a:solidFill>
              <a:effectLst/>
              <a:latin typeface="+mn-lt"/>
              <a:ea typeface="+mn-ea"/>
              <a:cs typeface="+mn-cs"/>
            </a:rPr>
            <a:t>Center of IPCC  </a:t>
          </a:r>
          <a:r>
            <a:rPr lang="en-US" sz="1100" baseline="0">
              <a:solidFill>
                <a:srgbClr val="006600"/>
              </a:solidFill>
            </a:rPr>
            <a:t>solution (ECS 1.5°C to 4.5°C).</a:t>
          </a:r>
        </a:p>
        <a:p xmlns:a="http://schemas.openxmlformats.org/drawingml/2006/main">
          <a:pPr algn="r"/>
          <a:r>
            <a:rPr lang="en-US" sz="1100">
              <a:solidFill>
                <a:srgbClr val="006600"/>
              </a:solidFill>
            </a:rPr>
            <a:t>  </a:t>
          </a:r>
        </a:p>
      </cdr:txBody>
    </cdr:sp>
  </cdr:relSizeAnchor>
  <cdr:relSizeAnchor xmlns:cdr="http://schemas.openxmlformats.org/drawingml/2006/chartDrawing">
    <cdr:from>
      <cdr:x>0.16316</cdr:x>
      <cdr:y>0.81762</cdr:y>
    </cdr:from>
    <cdr:to>
      <cdr:x>0.19841</cdr:x>
      <cdr:y>0.87086</cdr:y>
    </cdr:to>
    <cdr:sp macro="" textlink="">
      <cdr:nvSpPr>
        <cdr:cNvPr id="26" name="Multiply 25"/>
        <cdr:cNvSpPr/>
      </cdr:nvSpPr>
      <cdr:spPr>
        <a:xfrm xmlns:a="http://schemas.openxmlformats.org/drawingml/2006/main">
          <a:off x="969761" y="3364343"/>
          <a:ext cx="209512" cy="219072"/>
        </a:xfrm>
        <a:prstGeom xmlns:a="http://schemas.openxmlformats.org/drawingml/2006/main" prst="mathMultiply">
          <a:avLst/>
        </a:prstGeom>
        <a:solidFill xmlns:a="http://schemas.openxmlformats.org/drawingml/2006/main">
          <a:schemeClr val="tx1">
            <a:lumMod val="50000"/>
            <a:lumOff val="50000"/>
          </a:schemeClr>
        </a:solidFill>
        <a:ln xmlns:a="http://schemas.openxmlformats.org/drawingml/2006/main">
          <a:solidFill>
            <a:schemeClr val="tx1">
              <a:lumMod val="50000"/>
              <a:lumOff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0.27015</cdr:x>
      <cdr:y>0.27736</cdr:y>
    </cdr:from>
    <cdr:to>
      <cdr:x>0.54978</cdr:x>
      <cdr:y>0.40204</cdr:y>
    </cdr:to>
    <cdr:sp macro="" textlink="">
      <cdr:nvSpPr>
        <cdr:cNvPr id="33" name="TextBox 1"/>
        <cdr:cNvSpPr txBox="1"/>
      </cdr:nvSpPr>
      <cdr:spPr>
        <a:xfrm xmlns:a="http://schemas.openxmlformats.org/drawingml/2006/main">
          <a:off x="1605665" y="1141289"/>
          <a:ext cx="1662009" cy="513033"/>
        </a:xfrm>
        <a:prstGeom xmlns:a="http://schemas.openxmlformats.org/drawingml/2006/main" prst="rect">
          <a:avLst/>
        </a:prstGeom>
        <a:solidFill xmlns:a="http://schemas.openxmlformats.org/drawingml/2006/main">
          <a:srgbClr val="FFFFFF"/>
        </a:solidFill>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100" baseline="0">
              <a:solidFill>
                <a:schemeClr val="accent6">
                  <a:lumMod val="75000"/>
                </a:schemeClr>
              </a:solidFill>
            </a:rPr>
            <a:t>WVEL height unchanged. </a:t>
          </a:r>
        </a:p>
        <a:p xmlns:a="http://schemas.openxmlformats.org/drawingml/2006/main">
          <a:pPr algn="r"/>
          <a:r>
            <a:rPr lang="en-US" sz="1100" baseline="0">
              <a:solidFill>
                <a:schemeClr val="accent6">
                  <a:lumMod val="75000"/>
                </a:schemeClr>
              </a:solidFill>
            </a:rPr>
            <a:t>ECS ~0.43°C.</a:t>
          </a:r>
        </a:p>
        <a:p xmlns:a="http://schemas.openxmlformats.org/drawingml/2006/main">
          <a:pPr algn="r"/>
          <a:r>
            <a:rPr lang="en-US" sz="1100" baseline="0">
              <a:solidFill>
                <a:schemeClr val="accent6">
                  <a:lumMod val="75000"/>
                </a:schemeClr>
              </a:solidFill>
            </a:rPr>
            <a:t>20% of warming due to CO</a:t>
          </a:r>
          <a:r>
            <a:rPr lang="en-US" sz="1100" baseline="-25000">
              <a:solidFill>
                <a:schemeClr val="accent6">
                  <a:lumMod val="75000"/>
                </a:schemeClr>
              </a:solidFill>
            </a:rPr>
            <a:t>2</a:t>
          </a:r>
          <a:r>
            <a:rPr lang="en-US" sz="1100" baseline="0">
              <a:solidFill>
                <a:schemeClr val="accent6">
                  <a:lumMod val="75000"/>
                </a:schemeClr>
              </a:solidFill>
            </a:rPr>
            <a:t>.</a:t>
          </a:r>
          <a:endParaRPr lang="en-US" sz="1100">
            <a:solidFill>
              <a:schemeClr val="accent6">
                <a:lumMod val="75000"/>
              </a:schemeClr>
            </a:solidFill>
          </a:endParaRPr>
        </a:p>
      </cdr:txBody>
    </cdr:sp>
  </cdr:relSizeAnchor>
  <cdr:relSizeAnchor xmlns:cdr="http://schemas.openxmlformats.org/drawingml/2006/chartDrawing">
    <cdr:from>
      <cdr:x>0.41393</cdr:x>
      <cdr:y>0.9182</cdr:y>
    </cdr:from>
    <cdr:to>
      <cdr:x>0.85553</cdr:x>
      <cdr:y>0.91975</cdr:y>
    </cdr:to>
    <cdr:cxnSp macro="">
      <cdr:nvCxnSpPr>
        <cdr:cNvPr id="18" name="Straight Arrow Connector 17"/>
        <cdr:cNvCxnSpPr/>
      </cdr:nvCxnSpPr>
      <cdr:spPr>
        <a:xfrm xmlns:a="http://schemas.openxmlformats.org/drawingml/2006/main">
          <a:off x="2460213" y="3778229"/>
          <a:ext cx="2624694" cy="6378"/>
        </a:xfrm>
        <a:prstGeom xmlns:a="http://schemas.openxmlformats.org/drawingml/2006/main" prst="straightConnector1">
          <a:avLst/>
        </a:prstGeom>
        <a:ln xmlns:a="http://schemas.openxmlformats.org/drawingml/2006/main">
          <a:solidFill>
            <a:srgbClr val="FF00FF"/>
          </a:solidFill>
          <a:prstDash val="dash"/>
          <a:headEnd type="none" w="med" len="med"/>
          <a:tailEnd type="triangl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0.85771</cdr:x>
      <cdr:y>0.89835</cdr:y>
    </cdr:from>
    <cdr:to>
      <cdr:x>0.96964</cdr:x>
      <cdr:y>0.94149</cdr:y>
    </cdr:to>
    <cdr:sp macro="" textlink="">
      <cdr:nvSpPr>
        <cdr:cNvPr id="34" name="TextBox 1"/>
        <cdr:cNvSpPr txBox="1"/>
      </cdr:nvSpPr>
      <cdr:spPr>
        <a:xfrm xmlns:a="http://schemas.openxmlformats.org/drawingml/2006/main">
          <a:off x="5097891" y="3696550"/>
          <a:ext cx="665267" cy="177513"/>
        </a:xfrm>
        <a:prstGeom xmlns:a="http://schemas.openxmlformats.org/drawingml/2006/main" prst="rect">
          <a:avLst/>
        </a:prstGeom>
        <a:solidFill xmlns:a="http://schemas.openxmlformats.org/drawingml/2006/main">
          <a:srgbClr val="FFFFFF"/>
        </a:solidFill>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aseline="0">
              <a:solidFill>
                <a:srgbClr val="FF00FF"/>
              </a:solidFill>
            </a:rPr>
            <a:t>Amplifying</a:t>
          </a:r>
        </a:p>
      </cdr:txBody>
    </cdr:sp>
  </cdr:relSizeAnchor>
  <cdr:relSizeAnchor xmlns:cdr="http://schemas.openxmlformats.org/drawingml/2006/chartDrawing">
    <cdr:from>
      <cdr:x>0.12964</cdr:x>
      <cdr:y>0.89593</cdr:y>
    </cdr:from>
    <cdr:to>
      <cdr:x>0.24539</cdr:x>
      <cdr:y>0.94152</cdr:y>
    </cdr:to>
    <cdr:sp macro="" textlink="">
      <cdr:nvSpPr>
        <cdr:cNvPr id="36" name="TextBox 1"/>
        <cdr:cNvSpPr txBox="1"/>
      </cdr:nvSpPr>
      <cdr:spPr>
        <a:xfrm xmlns:a="http://schemas.openxmlformats.org/drawingml/2006/main">
          <a:off x="770522" y="3686571"/>
          <a:ext cx="687972" cy="187594"/>
        </a:xfrm>
        <a:prstGeom xmlns:a="http://schemas.openxmlformats.org/drawingml/2006/main" prst="rect">
          <a:avLst/>
        </a:prstGeom>
        <a:solidFill xmlns:a="http://schemas.openxmlformats.org/drawingml/2006/main">
          <a:srgbClr val="FFFFFF"/>
        </a:solidFill>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aseline="0">
              <a:solidFill>
                <a:srgbClr val="6600CC"/>
              </a:solidFill>
            </a:rPr>
            <a:t>Dampening</a:t>
          </a:r>
          <a:endParaRPr lang="en-US" sz="1100">
            <a:solidFill>
              <a:srgbClr val="6600CC"/>
            </a:solidFill>
          </a:endParaRPr>
        </a:p>
      </cdr:txBody>
    </cdr:sp>
  </cdr:relSizeAnchor>
  <cdr:relSizeAnchor xmlns:cdr="http://schemas.openxmlformats.org/drawingml/2006/chartDrawing">
    <cdr:from>
      <cdr:x>0.24859</cdr:x>
      <cdr:y>0.9182</cdr:y>
    </cdr:from>
    <cdr:to>
      <cdr:x>0.41286</cdr:x>
      <cdr:y>0.9182</cdr:y>
    </cdr:to>
    <cdr:cxnSp macro="">
      <cdr:nvCxnSpPr>
        <cdr:cNvPr id="37" name="Straight Arrow Connector 36"/>
        <cdr:cNvCxnSpPr/>
      </cdr:nvCxnSpPr>
      <cdr:spPr>
        <a:xfrm xmlns:a="http://schemas.openxmlformats.org/drawingml/2006/main" flipH="1">
          <a:off x="1477498" y="3778229"/>
          <a:ext cx="976355" cy="0"/>
        </a:xfrm>
        <a:prstGeom xmlns:a="http://schemas.openxmlformats.org/drawingml/2006/main" prst="straightConnector1">
          <a:avLst/>
        </a:prstGeom>
        <a:ln xmlns:a="http://schemas.openxmlformats.org/drawingml/2006/main">
          <a:solidFill>
            <a:srgbClr val="6600CC"/>
          </a:solidFill>
          <a:prstDash val="dash"/>
          <a:headEnd type="none" w="med" len="med"/>
          <a:tailEnd type="triangl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0.82444</cdr:x>
      <cdr:y>0.80453</cdr:y>
    </cdr:from>
    <cdr:to>
      <cdr:x>0.95905</cdr:x>
      <cdr:y>0.83231</cdr:y>
    </cdr:to>
    <cdr:sp macro="" textlink="">
      <cdr:nvSpPr>
        <cdr:cNvPr id="47" name="TextBox 1"/>
        <cdr:cNvSpPr txBox="1"/>
      </cdr:nvSpPr>
      <cdr:spPr>
        <a:xfrm xmlns:a="http://schemas.openxmlformats.org/drawingml/2006/main">
          <a:off x="4900122" y="3310492"/>
          <a:ext cx="800068" cy="114309"/>
        </a:xfrm>
        <a:prstGeom xmlns:a="http://schemas.openxmlformats.org/drawingml/2006/main" prst="rect">
          <a:avLst/>
        </a:prstGeom>
        <a:solidFill xmlns:a="http://schemas.openxmlformats.org/drawingml/2006/main">
          <a:srgbClr val="FFFFFF"/>
        </a:solidFill>
      </cdr:spPr>
      <cdr:txBody>
        <a:bodyPr xmlns:a="http://schemas.openxmlformats.org/drawingml/2006/main" wrap="non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t>sciencespeak.com</a:t>
          </a:r>
        </a:p>
      </cdr:txBody>
    </cdr:sp>
  </cdr:relSizeAnchor>
  <cdr:relSizeAnchor xmlns:cdr="http://schemas.openxmlformats.org/drawingml/2006/chartDrawing">
    <cdr:from>
      <cdr:x>0.66186</cdr:x>
      <cdr:y>0.16667</cdr:y>
    </cdr:from>
    <cdr:to>
      <cdr:x>0.83654</cdr:x>
      <cdr:y>0.27315</cdr:y>
    </cdr:to>
    <cdr:cxnSp macro="">
      <cdr:nvCxnSpPr>
        <cdr:cNvPr id="49" name="Straight Arrow Connector 6"/>
        <cdr:cNvCxnSpPr/>
      </cdr:nvCxnSpPr>
      <cdr:spPr>
        <a:xfrm xmlns:a="http://schemas.openxmlformats.org/drawingml/2006/main">
          <a:off x="3933825" y="685799"/>
          <a:ext cx="1038225" cy="438150"/>
        </a:xfrm>
        <a:prstGeom xmlns:a="http://schemas.openxmlformats.org/drawingml/2006/main" prst="straightConnector1">
          <a:avLst/>
        </a:prstGeom>
        <a:ln xmlns:a="http://schemas.openxmlformats.org/drawingml/2006/main">
          <a:solidFill>
            <a:srgbClr val="0066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0.09928</cdr:x>
      <cdr:y>0.56371</cdr:y>
    </cdr:from>
    <cdr:to>
      <cdr:x>0.33681</cdr:x>
      <cdr:y>0.68955</cdr:y>
    </cdr:to>
    <cdr:sp macro="" textlink="">
      <cdr:nvSpPr>
        <cdr:cNvPr id="50" name="TextBox 1"/>
        <cdr:cNvSpPr txBox="1"/>
      </cdr:nvSpPr>
      <cdr:spPr>
        <a:xfrm xmlns:a="http://schemas.openxmlformats.org/drawingml/2006/main">
          <a:off x="590052" y="2319554"/>
          <a:ext cx="1411783" cy="517806"/>
        </a:xfrm>
        <a:prstGeom xmlns:a="http://schemas.openxmlformats.org/drawingml/2006/main" prst="rect">
          <a:avLst/>
        </a:prstGeom>
        <a:solidFill xmlns:a="http://schemas.openxmlformats.org/drawingml/2006/main">
          <a:srgbClr val="FFFFFF"/>
        </a:solidFill>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a:solidFill>
                <a:schemeClr val="tx1">
                  <a:lumMod val="50000"/>
                  <a:lumOff val="50000"/>
                </a:schemeClr>
              </a:solidFill>
            </a:rPr>
            <a:t>WVEL </a:t>
          </a:r>
          <a:r>
            <a:rPr lang="en-US" sz="1100" baseline="0">
              <a:solidFill>
                <a:schemeClr val="tx1">
                  <a:lumMod val="50000"/>
                  <a:lumOff val="50000"/>
                </a:schemeClr>
              </a:solidFill>
            </a:rPr>
            <a:t>descends ~425 m.</a:t>
          </a:r>
        </a:p>
        <a:p xmlns:a="http://schemas.openxmlformats.org/drawingml/2006/main">
          <a:pPr algn="l"/>
          <a:r>
            <a:rPr lang="en-US" sz="1100">
              <a:solidFill>
                <a:schemeClr val="tx1">
                  <a:lumMod val="50000"/>
                  <a:lumOff val="50000"/>
                </a:schemeClr>
              </a:solidFill>
            </a:rPr>
            <a:t>ECS = 0.0°C.</a:t>
          </a:r>
        </a:p>
        <a:p xmlns:a="http://schemas.openxmlformats.org/drawingml/2006/main">
          <a:pPr algn="l"/>
          <a:r>
            <a:rPr lang="en-US" sz="1100">
              <a:solidFill>
                <a:schemeClr val="tx1">
                  <a:lumMod val="50000"/>
                  <a:lumOff val="50000"/>
                </a:schemeClr>
              </a:solidFill>
            </a:rPr>
            <a:t>Limiting case.</a:t>
          </a:r>
        </a:p>
      </cdr:txBody>
    </cdr:sp>
  </cdr:relSizeAnchor>
  <cdr:relSizeAnchor xmlns:cdr="http://schemas.openxmlformats.org/drawingml/2006/chartDrawing">
    <cdr:from>
      <cdr:x>0.42308</cdr:x>
      <cdr:y>0.40278</cdr:y>
    </cdr:from>
    <cdr:to>
      <cdr:x>0.51122</cdr:x>
      <cdr:y>0.74074</cdr:y>
    </cdr:to>
    <cdr:cxnSp macro="">
      <cdr:nvCxnSpPr>
        <cdr:cNvPr id="51" name="Straight Arrow Connector 6"/>
        <cdr:cNvCxnSpPr/>
      </cdr:nvCxnSpPr>
      <cdr:spPr>
        <a:xfrm xmlns:a="http://schemas.openxmlformats.org/drawingml/2006/main" flipH="1">
          <a:off x="2514602" y="1657349"/>
          <a:ext cx="523873" cy="1390650"/>
        </a:xfrm>
        <a:prstGeom xmlns:a="http://schemas.openxmlformats.org/drawingml/2006/main" prst="straightConnector1">
          <a:avLst/>
        </a:prstGeom>
        <a:ln xmlns:a="http://schemas.openxmlformats.org/drawingml/2006/main">
          <a:solidFill>
            <a:schemeClr val="accent6">
              <a:lumMod val="75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0.13782</cdr:x>
      <cdr:y>0.6875</cdr:y>
    </cdr:from>
    <cdr:to>
      <cdr:x>0.16987</cdr:x>
      <cdr:y>0.81944</cdr:y>
    </cdr:to>
    <cdr:cxnSp macro="">
      <cdr:nvCxnSpPr>
        <cdr:cNvPr id="54" name="Straight Arrow Connector 6"/>
        <cdr:cNvCxnSpPr/>
      </cdr:nvCxnSpPr>
      <cdr:spPr>
        <a:xfrm xmlns:a="http://schemas.openxmlformats.org/drawingml/2006/main">
          <a:off x="819150" y="2828924"/>
          <a:ext cx="190500" cy="542925"/>
        </a:xfrm>
        <a:prstGeom xmlns:a="http://schemas.openxmlformats.org/drawingml/2006/main" prst="straightConnector1">
          <a:avLst/>
        </a:prstGeom>
        <a:ln xmlns:a="http://schemas.openxmlformats.org/drawingml/2006/main">
          <a:solidFill>
            <a:schemeClr val="tx1">
              <a:lumMod val="50000"/>
              <a:lumOff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0.39759</cdr:x>
      <cdr:y>0.73567</cdr:y>
    </cdr:from>
    <cdr:to>
      <cdr:x>0.43285</cdr:x>
      <cdr:y>0.78891</cdr:y>
    </cdr:to>
    <cdr:sp macro="" textlink="">
      <cdr:nvSpPr>
        <cdr:cNvPr id="35" name="Multiply 34"/>
        <cdr:cNvSpPr/>
      </cdr:nvSpPr>
      <cdr:spPr>
        <a:xfrm xmlns:a="http://schemas.openxmlformats.org/drawingml/2006/main">
          <a:off x="2363125" y="3027120"/>
          <a:ext cx="209571" cy="219072"/>
        </a:xfrm>
        <a:prstGeom xmlns:a="http://schemas.openxmlformats.org/drawingml/2006/main" prst="mathMultiply">
          <a:avLst/>
        </a:prstGeom>
        <a:solidFill xmlns:a="http://schemas.openxmlformats.org/drawingml/2006/main">
          <a:schemeClr val="accent6">
            <a:lumMod val="75000"/>
          </a:schemeClr>
        </a:solidFill>
        <a:ln xmlns:a="http://schemas.openxmlformats.org/drawingml/2006/main">
          <a:solidFill>
            <a:schemeClr val="accent6">
              <a:lumMod val="75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0.86958</cdr:x>
      <cdr:y>0.60922</cdr:y>
    </cdr:from>
    <cdr:to>
      <cdr:x>0.95573</cdr:x>
      <cdr:y>0.65636</cdr:y>
    </cdr:to>
    <cdr:sp macro="" textlink="">
      <cdr:nvSpPr>
        <cdr:cNvPr id="38" name="TextBox 1"/>
        <cdr:cNvSpPr txBox="1"/>
      </cdr:nvSpPr>
      <cdr:spPr>
        <a:xfrm xmlns:a="http://schemas.openxmlformats.org/drawingml/2006/main">
          <a:off x="5168420" y="2506803"/>
          <a:ext cx="512042" cy="193972"/>
        </a:xfrm>
        <a:prstGeom xmlns:a="http://schemas.openxmlformats.org/drawingml/2006/main" prst="rect">
          <a:avLst/>
        </a:prstGeom>
        <a:solidFill xmlns:a="http://schemas.openxmlformats.org/drawingml/2006/main">
          <a:srgbClr val="FFFFFF"/>
        </a:solidFill>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l-GR" sz="1100" baseline="0">
              <a:solidFill>
                <a:schemeClr val="accent6">
                  <a:lumMod val="75000"/>
                </a:schemeClr>
              </a:solidFill>
            </a:rPr>
            <a:t>μ</a:t>
          </a:r>
          <a:r>
            <a:rPr lang="en-US" sz="1100" baseline="0">
              <a:solidFill>
                <a:schemeClr val="accent6">
                  <a:lumMod val="75000"/>
                </a:schemeClr>
              </a:solidFill>
            </a:rPr>
            <a:t> = 20%</a:t>
          </a:r>
          <a:endParaRPr lang="en-US" sz="1100">
            <a:solidFill>
              <a:schemeClr val="accent6">
                <a:lumMod val="75000"/>
              </a:schemeClr>
            </a:solidFill>
          </a:endParaRPr>
        </a:p>
      </cdr:txBody>
    </cdr:sp>
  </cdr:relSizeAnchor>
  <cdr:relSizeAnchor xmlns:cdr="http://schemas.openxmlformats.org/drawingml/2006/chartDrawing">
    <cdr:from>
      <cdr:x>0.86985</cdr:x>
      <cdr:y>0.40377</cdr:y>
    </cdr:from>
    <cdr:to>
      <cdr:x>0.95973</cdr:x>
      <cdr:y>0.44858</cdr:y>
    </cdr:to>
    <cdr:sp macro="" textlink="">
      <cdr:nvSpPr>
        <cdr:cNvPr id="39" name="TextBox 1"/>
        <cdr:cNvSpPr txBox="1"/>
      </cdr:nvSpPr>
      <cdr:spPr>
        <a:xfrm xmlns:a="http://schemas.openxmlformats.org/drawingml/2006/main">
          <a:off x="5170040" y="1661415"/>
          <a:ext cx="534211" cy="184384"/>
        </a:xfrm>
        <a:prstGeom xmlns:a="http://schemas.openxmlformats.org/drawingml/2006/main" prst="rect">
          <a:avLst/>
        </a:prstGeom>
        <a:solidFill xmlns:a="http://schemas.openxmlformats.org/drawingml/2006/main">
          <a:srgbClr val="FFFFFF"/>
        </a:solidFill>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l-GR" sz="1100" baseline="0">
              <a:solidFill>
                <a:schemeClr val="bg1">
                  <a:lumMod val="50000"/>
                </a:schemeClr>
              </a:solidFill>
            </a:rPr>
            <a:t>μ</a:t>
          </a:r>
          <a:r>
            <a:rPr lang="en-US" sz="1100" baseline="0">
              <a:solidFill>
                <a:schemeClr val="bg1">
                  <a:lumMod val="50000"/>
                </a:schemeClr>
              </a:solidFill>
            </a:rPr>
            <a:t> = 50%</a:t>
          </a:r>
          <a:endParaRPr lang="en-US" sz="1100">
            <a:solidFill>
              <a:schemeClr val="bg1">
                <a:lumMod val="50000"/>
              </a:schemeClr>
            </a:solidFill>
          </a:endParaRPr>
        </a:p>
      </cdr:txBody>
    </cdr:sp>
  </cdr:relSizeAnchor>
  <cdr:relSizeAnchor xmlns:cdr="http://schemas.openxmlformats.org/drawingml/2006/chartDrawing">
    <cdr:from>
      <cdr:x>0.82418</cdr:x>
      <cdr:y>0.10223</cdr:y>
    </cdr:from>
    <cdr:to>
      <cdr:x>0.91913</cdr:x>
      <cdr:y>0.15054</cdr:y>
    </cdr:to>
    <cdr:sp macro="" textlink="">
      <cdr:nvSpPr>
        <cdr:cNvPr id="40" name="TextBox 1"/>
        <cdr:cNvSpPr txBox="1"/>
      </cdr:nvSpPr>
      <cdr:spPr>
        <a:xfrm xmlns:a="http://schemas.openxmlformats.org/drawingml/2006/main">
          <a:off x="4898616" y="420670"/>
          <a:ext cx="564345" cy="198786"/>
        </a:xfrm>
        <a:prstGeom xmlns:a="http://schemas.openxmlformats.org/drawingml/2006/main" prst="rect">
          <a:avLst/>
        </a:prstGeom>
        <a:solidFill xmlns:a="http://schemas.openxmlformats.org/drawingml/2006/main">
          <a:srgbClr val="FFFFFF"/>
        </a:solidFill>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l-GR" sz="1100" baseline="0">
              <a:solidFill>
                <a:srgbClr val="808000"/>
              </a:solidFill>
            </a:rPr>
            <a:t>μ</a:t>
          </a:r>
          <a:r>
            <a:rPr lang="en-US" sz="1100" baseline="0">
              <a:solidFill>
                <a:srgbClr val="808000"/>
              </a:solidFill>
            </a:rPr>
            <a:t> = 100%</a:t>
          </a:r>
          <a:endParaRPr lang="en-US" sz="1100">
            <a:solidFill>
              <a:srgbClr val="808000"/>
            </a:solidFill>
          </a:endParaRPr>
        </a:p>
      </cdr:txBody>
    </cdr:sp>
  </cdr:relSizeAnchor>
  <cdr:relSizeAnchor xmlns:cdr="http://schemas.openxmlformats.org/drawingml/2006/chartDrawing">
    <cdr:from>
      <cdr:x>0.87867</cdr:x>
      <cdr:y>0.26196</cdr:y>
    </cdr:from>
    <cdr:to>
      <cdr:x>0.95513</cdr:x>
      <cdr:y>0.30324</cdr:y>
    </cdr:to>
    <cdr:sp macro="" textlink="">
      <cdr:nvSpPr>
        <cdr:cNvPr id="27" name="TextBox 1"/>
        <cdr:cNvSpPr txBox="1"/>
      </cdr:nvSpPr>
      <cdr:spPr>
        <a:xfrm xmlns:a="http://schemas.openxmlformats.org/drawingml/2006/main">
          <a:off x="5222467" y="1077895"/>
          <a:ext cx="454434" cy="169879"/>
        </a:xfrm>
        <a:prstGeom xmlns:a="http://schemas.openxmlformats.org/drawingml/2006/main" prst="rect">
          <a:avLst/>
        </a:prstGeom>
        <a:solidFill xmlns:a="http://schemas.openxmlformats.org/drawingml/2006/main">
          <a:srgbClr val="FFFFFF"/>
        </a:solidFill>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l-GR" sz="1100" baseline="0">
              <a:solidFill>
                <a:srgbClr val="339933"/>
              </a:solidFill>
            </a:rPr>
            <a:t>μ</a:t>
          </a:r>
          <a:r>
            <a:rPr lang="en-US" sz="1100" baseline="0">
              <a:solidFill>
                <a:srgbClr val="339933"/>
              </a:solidFill>
            </a:rPr>
            <a:t> = 80%</a:t>
          </a:r>
          <a:endParaRPr lang="en-US" sz="1100">
            <a:solidFill>
              <a:srgbClr val="339933"/>
            </a:solidFill>
          </a:endParaRPr>
        </a:p>
      </cdr:txBody>
    </cdr:sp>
  </cdr:relSizeAnchor>
  <cdr:relSizeAnchor xmlns:cdr="http://schemas.openxmlformats.org/drawingml/2006/chartDrawing">
    <cdr:from>
      <cdr:x>0.86958</cdr:x>
      <cdr:y>0.71801</cdr:y>
    </cdr:from>
    <cdr:to>
      <cdr:x>0.95573</cdr:x>
      <cdr:y>0.76515</cdr:y>
    </cdr:to>
    <cdr:sp macro="" textlink="">
      <cdr:nvSpPr>
        <cdr:cNvPr id="30" name="TextBox 1"/>
        <cdr:cNvSpPr txBox="1"/>
      </cdr:nvSpPr>
      <cdr:spPr>
        <a:xfrm xmlns:a="http://schemas.openxmlformats.org/drawingml/2006/main">
          <a:off x="5168420" y="2954478"/>
          <a:ext cx="512042" cy="193972"/>
        </a:xfrm>
        <a:prstGeom xmlns:a="http://schemas.openxmlformats.org/drawingml/2006/main" prst="rect">
          <a:avLst/>
        </a:prstGeom>
        <a:solidFill xmlns:a="http://schemas.openxmlformats.org/drawingml/2006/main">
          <a:srgbClr val="FFFFFF"/>
        </a:solidFill>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l-GR" sz="1100" baseline="0">
              <a:solidFill>
                <a:srgbClr val="FF0000"/>
              </a:solidFill>
            </a:rPr>
            <a:t>μ</a:t>
          </a:r>
          <a:r>
            <a:rPr lang="en-US" sz="1100" baseline="0">
              <a:solidFill>
                <a:srgbClr val="FF0000"/>
              </a:solidFill>
            </a:rPr>
            <a:t> = 10%</a:t>
          </a:r>
          <a:endParaRPr lang="en-US" sz="1100">
            <a:solidFill>
              <a:srgbClr val="FF0000"/>
            </a:solidFill>
          </a:endParaRPr>
        </a:p>
      </cdr:txBody>
    </cdr:sp>
  </cdr:relSizeAnchor>
  <cdr:relSizeAnchor xmlns:cdr="http://schemas.openxmlformats.org/drawingml/2006/chartDrawing">
    <cdr:from>
      <cdr:x>0.38912</cdr:x>
      <cdr:y>0.77132</cdr:y>
    </cdr:from>
    <cdr:to>
      <cdr:x>0.42437</cdr:x>
      <cdr:y>0.82456</cdr:y>
    </cdr:to>
    <cdr:sp macro="" textlink="">
      <cdr:nvSpPr>
        <cdr:cNvPr id="41" name="Multiply 40"/>
        <cdr:cNvSpPr/>
      </cdr:nvSpPr>
      <cdr:spPr>
        <a:xfrm xmlns:a="http://schemas.openxmlformats.org/drawingml/2006/main">
          <a:off x="2312786" y="3173843"/>
          <a:ext cx="209512" cy="219072"/>
        </a:xfrm>
        <a:prstGeom xmlns:a="http://schemas.openxmlformats.org/drawingml/2006/main" prst="mathMultiply">
          <a:avLst/>
        </a:prstGeom>
        <a:solidFill xmlns:a="http://schemas.openxmlformats.org/drawingml/2006/main">
          <a:srgbClr val="C00000"/>
        </a:solidFill>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0.10669</cdr:x>
      <cdr:y>0.41394</cdr:y>
    </cdr:from>
    <cdr:to>
      <cdr:x>0.38632</cdr:x>
      <cdr:y>0.53862</cdr:y>
    </cdr:to>
    <cdr:sp macro="" textlink="">
      <cdr:nvSpPr>
        <cdr:cNvPr id="42" name="TextBox 1"/>
        <cdr:cNvSpPr txBox="1"/>
      </cdr:nvSpPr>
      <cdr:spPr>
        <a:xfrm xmlns:a="http://schemas.openxmlformats.org/drawingml/2006/main">
          <a:off x="634115" y="1703264"/>
          <a:ext cx="1662009" cy="513033"/>
        </a:xfrm>
        <a:prstGeom xmlns:a="http://schemas.openxmlformats.org/drawingml/2006/main" prst="rect">
          <a:avLst/>
        </a:prstGeom>
        <a:solidFill xmlns:a="http://schemas.openxmlformats.org/drawingml/2006/main">
          <a:srgbClr val="FFFFFF"/>
        </a:solidFill>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100" baseline="0">
              <a:solidFill>
                <a:srgbClr val="FF0000"/>
              </a:solidFill>
            </a:rPr>
            <a:t>WVEL descends slightly. </a:t>
          </a:r>
        </a:p>
        <a:p xmlns:a="http://schemas.openxmlformats.org/drawingml/2006/main">
          <a:pPr algn="r"/>
          <a:r>
            <a:rPr lang="en-US" sz="1100" baseline="0">
              <a:solidFill>
                <a:srgbClr val="FF0000"/>
              </a:solidFill>
            </a:rPr>
            <a:t>ECS ~0.24°C.</a:t>
          </a:r>
        </a:p>
        <a:p xmlns:a="http://schemas.openxmlformats.org/drawingml/2006/main">
          <a:pPr algn="r"/>
          <a:r>
            <a:rPr lang="en-US" sz="1100" baseline="0">
              <a:solidFill>
                <a:srgbClr val="FF0000"/>
              </a:solidFill>
            </a:rPr>
            <a:t>10% of warming due to CO</a:t>
          </a:r>
          <a:r>
            <a:rPr lang="en-US" sz="1100" baseline="-25000">
              <a:solidFill>
                <a:srgbClr val="FF0000"/>
              </a:solidFill>
            </a:rPr>
            <a:t>2</a:t>
          </a:r>
          <a:r>
            <a:rPr lang="en-US" sz="1100" baseline="0">
              <a:solidFill>
                <a:srgbClr val="FF0000"/>
              </a:solidFill>
            </a:rPr>
            <a:t>.</a:t>
          </a:r>
          <a:endParaRPr lang="en-US" sz="1100">
            <a:solidFill>
              <a:srgbClr val="FF0000"/>
            </a:solidFill>
          </a:endParaRPr>
        </a:p>
      </cdr:txBody>
    </cdr:sp>
  </cdr:relSizeAnchor>
  <cdr:relSizeAnchor xmlns:cdr="http://schemas.openxmlformats.org/drawingml/2006/chartDrawing">
    <cdr:from>
      <cdr:x>0.36058</cdr:x>
      <cdr:y>0.53935</cdr:y>
    </cdr:from>
    <cdr:to>
      <cdr:x>0.39263</cdr:x>
      <cdr:y>0.78241</cdr:y>
    </cdr:to>
    <cdr:cxnSp macro="">
      <cdr:nvCxnSpPr>
        <cdr:cNvPr id="43" name="Straight Arrow Connector 6"/>
        <cdr:cNvCxnSpPr/>
      </cdr:nvCxnSpPr>
      <cdr:spPr>
        <a:xfrm xmlns:a="http://schemas.openxmlformats.org/drawingml/2006/main">
          <a:off x="2143125" y="2219324"/>
          <a:ext cx="190500" cy="1000125"/>
        </a:xfrm>
        <a:prstGeom xmlns:a="http://schemas.openxmlformats.org/drawingml/2006/main" prst="straightConnector1">
          <a:avLst/>
        </a:prstGeom>
        <a:ln xmlns:a="http://schemas.openxmlformats.org/drawingml/2006/main">
          <a:solidFill>
            <a:srgbClr val="FF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0.52564</cdr:x>
      <cdr:y>0.18519</cdr:y>
    </cdr:from>
    <cdr:to>
      <cdr:x>0.96474</cdr:x>
      <cdr:y>0.55848</cdr:y>
    </cdr:to>
    <cdr:cxnSp macro="">
      <cdr:nvCxnSpPr>
        <cdr:cNvPr id="3" name="Straight Connector 2"/>
        <cdr:cNvCxnSpPr/>
      </cdr:nvCxnSpPr>
      <cdr:spPr>
        <a:xfrm xmlns:a="http://schemas.openxmlformats.org/drawingml/2006/main" flipV="1">
          <a:off x="3124200" y="762000"/>
          <a:ext cx="2609850" cy="1536030"/>
        </a:xfrm>
        <a:prstGeom xmlns:a="http://schemas.openxmlformats.org/drawingml/2006/main" prst="line">
          <a:avLst/>
        </a:prstGeom>
        <a:ln xmlns:a="http://schemas.openxmlformats.org/drawingml/2006/main" w="25400">
          <a:solidFill>
            <a:srgbClr val="008000">
              <a:alpha val="70000"/>
            </a:srgb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0.83604</cdr:x>
      <cdr:y>0.24666</cdr:y>
    </cdr:from>
    <cdr:to>
      <cdr:x>0.8713</cdr:x>
      <cdr:y>0.2999</cdr:y>
    </cdr:to>
    <cdr:sp macro="" textlink="">
      <cdr:nvSpPr>
        <cdr:cNvPr id="15" name="Multiply 14"/>
        <cdr:cNvSpPr/>
      </cdr:nvSpPr>
      <cdr:spPr>
        <a:xfrm xmlns:a="http://schemas.openxmlformats.org/drawingml/2006/main">
          <a:off x="4969075" y="1014958"/>
          <a:ext cx="209571" cy="219072"/>
        </a:xfrm>
        <a:prstGeom xmlns:a="http://schemas.openxmlformats.org/drawingml/2006/main" prst="mathMultiply">
          <a:avLst/>
        </a:prstGeom>
        <a:solidFill xmlns:a="http://schemas.openxmlformats.org/drawingml/2006/main">
          <a:srgbClr val="008000"/>
        </a:solidFill>
        <a:ln xmlns:a="http://schemas.openxmlformats.org/drawingml/2006/main">
          <a:solidFill>
            <a:srgbClr val="008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133350</xdr:colOff>
          <xdr:row>4</xdr:row>
          <xdr:rowOff>19050</xdr:rowOff>
        </xdr:from>
        <xdr:to>
          <xdr:col>5</xdr:col>
          <xdr:colOff>400050</xdr:colOff>
          <xdr:row>4</xdr:row>
          <xdr:rowOff>247650</xdr:rowOff>
        </xdr:to>
        <xdr:sp macro="" textlink="">
          <xdr:nvSpPr>
            <xdr:cNvPr id="4139" name="Object 43" hidden="1">
              <a:extLst>
                <a:ext uri="{63B3BB69-23CF-44E3-9099-C40C66FF867C}">
                  <a14:compatExt spid="_x0000_s4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xdr:row>
          <xdr:rowOff>28575</xdr:rowOff>
        </xdr:from>
        <xdr:to>
          <xdr:col>6</xdr:col>
          <xdr:colOff>333375</xdr:colOff>
          <xdr:row>4</xdr:row>
          <xdr:rowOff>257175</xdr:rowOff>
        </xdr:to>
        <xdr:sp macro="" textlink="">
          <xdr:nvSpPr>
            <xdr:cNvPr id="4140" name="Object 44" hidden="1">
              <a:extLst>
                <a:ext uri="{63B3BB69-23CF-44E3-9099-C40C66FF867C}">
                  <a14:compatExt spid="_x0000_s4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xdr:row>
          <xdr:rowOff>28575</xdr:rowOff>
        </xdr:from>
        <xdr:to>
          <xdr:col>7</xdr:col>
          <xdr:colOff>571500</xdr:colOff>
          <xdr:row>4</xdr:row>
          <xdr:rowOff>257175</xdr:rowOff>
        </xdr:to>
        <xdr:sp macro="" textlink="">
          <xdr:nvSpPr>
            <xdr:cNvPr id="4142" name="Object 46" hidden="1">
              <a:extLst>
                <a:ext uri="{63B3BB69-23CF-44E3-9099-C40C66FF867C}">
                  <a14:compatExt spid="_x0000_s4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4</xdr:row>
          <xdr:rowOff>38100</xdr:rowOff>
        </xdr:from>
        <xdr:to>
          <xdr:col>9</xdr:col>
          <xdr:colOff>390525</xdr:colOff>
          <xdr:row>4</xdr:row>
          <xdr:rowOff>209550</xdr:rowOff>
        </xdr:to>
        <xdr:sp macro="" textlink="">
          <xdr:nvSpPr>
            <xdr:cNvPr id="4143" name="Object 47" hidden="1">
              <a:extLst>
                <a:ext uri="{63B3BB69-23CF-44E3-9099-C40C66FF867C}">
                  <a14:compatExt spid="_x0000_s4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40</xdr:row>
          <xdr:rowOff>19050</xdr:rowOff>
        </xdr:from>
        <xdr:to>
          <xdr:col>2</xdr:col>
          <xdr:colOff>285750</xdr:colOff>
          <xdr:row>43</xdr:row>
          <xdr:rowOff>57150</xdr:rowOff>
        </xdr:to>
        <xdr:sp macro="" textlink="">
          <xdr:nvSpPr>
            <xdr:cNvPr id="4145" name="Object 49" hidden="1">
              <a:extLst>
                <a:ext uri="{63B3BB69-23CF-44E3-9099-C40C66FF867C}">
                  <a14:compatExt spid="_x0000_s4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xdr:row>
          <xdr:rowOff>28575</xdr:rowOff>
        </xdr:from>
        <xdr:to>
          <xdr:col>10</xdr:col>
          <xdr:colOff>419100</xdr:colOff>
          <xdr:row>4</xdr:row>
          <xdr:rowOff>257175</xdr:rowOff>
        </xdr:to>
        <xdr:sp macro="" textlink="">
          <xdr:nvSpPr>
            <xdr:cNvPr id="4147" name="Object 51" hidden="1">
              <a:extLst>
                <a:ext uri="{63B3BB69-23CF-44E3-9099-C40C66FF867C}">
                  <a14:compatExt spid="_x0000_s4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xdr:row>
          <xdr:rowOff>9525</xdr:rowOff>
        </xdr:from>
        <xdr:to>
          <xdr:col>11</xdr:col>
          <xdr:colOff>409575</xdr:colOff>
          <xdr:row>4</xdr:row>
          <xdr:rowOff>247650</xdr:rowOff>
        </xdr:to>
        <xdr:sp macro="" textlink="">
          <xdr:nvSpPr>
            <xdr:cNvPr id="4148" name="Object 52" hidden="1">
              <a:extLst>
                <a:ext uri="{63B3BB69-23CF-44E3-9099-C40C66FF867C}">
                  <a14:compatExt spid="_x0000_s4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xdr:row>
          <xdr:rowOff>0</xdr:rowOff>
        </xdr:from>
        <xdr:to>
          <xdr:col>3</xdr:col>
          <xdr:colOff>361950</xdr:colOff>
          <xdr:row>4</xdr:row>
          <xdr:rowOff>247650</xdr:rowOff>
        </xdr:to>
        <xdr:sp macro="" textlink="">
          <xdr:nvSpPr>
            <xdr:cNvPr id="4153" name="Object 57" hidden="1">
              <a:extLst>
                <a:ext uri="{63B3BB69-23CF-44E3-9099-C40C66FF867C}">
                  <a14:compatExt spid="_x0000_s4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xdr:row>
          <xdr:rowOff>19050</xdr:rowOff>
        </xdr:from>
        <xdr:to>
          <xdr:col>4</xdr:col>
          <xdr:colOff>628650</xdr:colOff>
          <xdr:row>4</xdr:row>
          <xdr:rowOff>266700</xdr:rowOff>
        </xdr:to>
        <xdr:sp macro="" textlink="">
          <xdr:nvSpPr>
            <xdr:cNvPr id="4154" name="Object 58" hidden="1">
              <a:extLst>
                <a:ext uri="{63B3BB69-23CF-44E3-9099-C40C66FF867C}">
                  <a14:compatExt spid="_x0000_s4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4</xdr:row>
          <xdr:rowOff>38100</xdr:rowOff>
        </xdr:from>
        <xdr:to>
          <xdr:col>12</xdr:col>
          <xdr:colOff>361950</xdr:colOff>
          <xdr:row>4</xdr:row>
          <xdr:rowOff>200025</xdr:rowOff>
        </xdr:to>
        <xdr:sp macro="" textlink="">
          <xdr:nvSpPr>
            <xdr:cNvPr id="4157" name="Object 61" hidden="1">
              <a:extLst>
                <a:ext uri="{63B3BB69-23CF-44E3-9099-C40C66FF867C}">
                  <a14:compatExt spid="_x0000_s4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428625</xdr:colOff>
          <xdr:row>40</xdr:row>
          <xdr:rowOff>57150</xdr:rowOff>
        </xdr:from>
        <xdr:to>
          <xdr:col>4</xdr:col>
          <xdr:colOff>57150</xdr:colOff>
          <xdr:row>43</xdr:row>
          <xdr:rowOff>19050</xdr:rowOff>
        </xdr:to>
        <xdr:sp macro="" textlink="">
          <xdr:nvSpPr>
            <xdr:cNvPr id="4163" name="Object 67" hidden="1">
              <a:extLst>
                <a:ext uri="{63B3BB69-23CF-44E3-9099-C40C66FF867C}">
                  <a14:compatExt spid="_x0000_s4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xdr:row>
          <xdr:rowOff>19050</xdr:rowOff>
        </xdr:from>
        <xdr:to>
          <xdr:col>13</xdr:col>
          <xdr:colOff>323850</xdr:colOff>
          <xdr:row>4</xdr:row>
          <xdr:rowOff>228600</xdr:rowOff>
        </xdr:to>
        <xdr:sp macro="" textlink="">
          <xdr:nvSpPr>
            <xdr:cNvPr id="4164" name="Object 68" hidden="1">
              <a:extLst>
                <a:ext uri="{63B3BB69-23CF-44E3-9099-C40C66FF867C}">
                  <a14:compatExt spid="_x0000_s4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4</xdr:row>
          <xdr:rowOff>9525</xdr:rowOff>
        </xdr:from>
        <xdr:to>
          <xdr:col>14</xdr:col>
          <xdr:colOff>361950</xdr:colOff>
          <xdr:row>4</xdr:row>
          <xdr:rowOff>238125</xdr:rowOff>
        </xdr:to>
        <xdr:sp macro="" textlink="">
          <xdr:nvSpPr>
            <xdr:cNvPr id="4165" name="Object 69" hidden="1">
              <a:extLst>
                <a:ext uri="{63B3BB69-23CF-44E3-9099-C40C66FF867C}">
                  <a14:compatExt spid="_x0000_s4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4</xdr:row>
          <xdr:rowOff>19050</xdr:rowOff>
        </xdr:from>
        <xdr:to>
          <xdr:col>21</xdr:col>
          <xdr:colOff>409575</xdr:colOff>
          <xdr:row>4</xdr:row>
          <xdr:rowOff>209550</xdr:rowOff>
        </xdr:to>
        <xdr:sp macro="" textlink="">
          <xdr:nvSpPr>
            <xdr:cNvPr id="4167" name="Object 71" hidden="1">
              <a:extLst>
                <a:ext uri="{63B3BB69-23CF-44E3-9099-C40C66FF867C}">
                  <a14:compatExt spid="_x0000_s4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4</xdr:row>
          <xdr:rowOff>66675</xdr:rowOff>
        </xdr:from>
        <xdr:to>
          <xdr:col>20</xdr:col>
          <xdr:colOff>342900</xdr:colOff>
          <xdr:row>4</xdr:row>
          <xdr:rowOff>228600</xdr:rowOff>
        </xdr:to>
        <xdr:sp macro="" textlink="">
          <xdr:nvSpPr>
            <xdr:cNvPr id="4168" name="Object 72" hidden="1">
              <a:extLst>
                <a:ext uri="{63B3BB69-23CF-44E3-9099-C40C66FF867C}">
                  <a14:compatExt spid="_x0000_s4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4</xdr:row>
          <xdr:rowOff>38100</xdr:rowOff>
        </xdr:from>
        <xdr:to>
          <xdr:col>25</xdr:col>
          <xdr:colOff>371475</xdr:colOff>
          <xdr:row>4</xdr:row>
          <xdr:rowOff>200025</xdr:rowOff>
        </xdr:to>
        <xdr:sp macro="" textlink="">
          <xdr:nvSpPr>
            <xdr:cNvPr id="4173" name="Object 77" hidden="1">
              <a:extLst>
                <a:ext uri="{63B3BB69-23CF-44E3-9099-C40C66FF867C}">
                  <a14:compatExt spid="_x0000_s4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4</xdr:row>
          <xdr:rowOff>19050</xdr:rowOff>
        </xdr:from>
        <xdr:to>
          <xdr:col>19</xdr:col>
          <xdr:colOff>400050</xdr:colOff>
          <xdr:row>4</xdr:row>
          <xdr:rowOff>247650</xdr:rowOff>
        </xdr:to>
        <xdr:sp macro="" textlink="">
          <xdr:nvSpPr>
            <xdr:cNvPr id="4178" name="Object 82" hidden="1">
              <a:extLst>
                <a:ext uri="{63B3BB69-23CF-44E3-9099-C40C66FF867C}">
                  <a14:compatExt spid="_x0000_s4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xdr:row>
          <xdr:rowOff>19050</xdr:rowOff>
        </xdr:from>
        <xdr:to>
          <xdr:col>15</xdr:col>
          <xdr:colOff>381000</xdr:colOff>
          <xdr:row>4</xdr:row>
          <xdr:rowOff>228600</xdr:rowOff>
        </xdr:to>
        <xdr:sp macro="" textlink="">
          <xdr:nvSpPr>
            <xdr:cNvPr id="4183" name="Object 87" hidden="1">
              <a:extLst>
                <a:ext uri="{63B3BB69-23CF-44E3-9099-C40C66FF867C}">
                  <a14:compatExt spid="_x0000_s4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40</xdr:row>
          <xdr:rowOff>133350</xdr:rowOff>
        </xdr:from>
        <xdr:to>
          <xdr:col>9</xdr:col>
          <xdr:colOff>457200</xdr:colOff>
          <xdr:row>42</xdr:row>
          <xdr:rowOff>76200</xdr:rowOff>
        </xdr:to>
        <xdr:sp macro="" textlink="">
          <xdr:nvSpPr>
            <xdr:cNvPr id="4184" name="Object 88" hidden="1">
              <a:extLst>
                <a:ext uri="{63B3BB69-23CF-44E3-9099-C40C66FF867C}">
                  <a14:compatExt spid="_x0000_s4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xdr:row>
          <xdr:rowOff>28575</xdr:rowOff>
        </xdr:from>
        <xdr:to>
          <xdr:col>33</xdr:col>
          <xdr:colOff>9525</xdr:colOff>
          <xdr:row>4</xdr:row>
          <xdr:rowOff>276225</xdr:rowOff>
        </xdr:to>
        <xdr:sp macro="" textlink="">
          <xdr:nvSpPr>
            <xdr:cNvPr id="4185" name="Object 89" hidden="1">
              <a:extLst>
                <a:ext uri="{63B3BB69-23CF-44E3-9099-C40C66FF867C}">
                  <a14:compatExt spid="_x0000_s4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4</xdr:row>
          <xdr:rowOff>38100</xdr:rowOff>
        </xdr:from>
        <xdr:to>
          <xdr:col>22</xdr:col>
          <xdr:colOff>361950</xdr:colOff>
          <xdr:row>4</xdr:row>
          <xdr:rowOff>200025</xdr:rowOff>
        </xdr:to>
        <xdr:sp macro="" textlink="">
          <xdr:nvSpPr>
            <xdr:cNvPr id="4186" name="Object 90" hidden="1">
              <a:extLst>
                <a:ext uri="{63B3BB69-23CF-44E3-9099-C40C66FF867C}">
                  <a14:compatExt spid="_x0000_s4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4</xdr:row>
          <xdr:rowOff>19050</xdr:rowOff>
        </xdr:from>
        <xdr:to>
          <xdr:col>24</xdr:col>
          <xdr:colOff>419100</xdr:colOff>
          <xdr:row>4</xdr:row>
          <xdr:rowOff>257175</xdr:rowOff>
        </xdr:to>
        <xdr:sp macro="" textlink="">
          <xdr:nvSpPr>
            <xdr:cNvPr id="4187" name="Object 91" hidden="1">
              <a:extLst>
                <a:ext uri="{63B3BB69-23CF-44E3-9099-C40C66FF867C}">
                  <a14:compatExt spid="_x0000_s4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4</xdr:row>
          <xdr:rowOff>19050</xdr:rowOff>
        </xdr:from>
        <xdr:to>
          <xdr:col>23</xdr:col>
          <xdr:colOff>447675</xdr:colOff>
          <xdr:row>4</xdr:row>
          <xdr:rowOff>266700</xdr:rowOff>
        </xdr:to>
        <xdr:sp macro="" textlink="">
          <xdr:nvSpPr>
            <xdr:cNvPr id="4189" name="Object 93" hidden="1">
              <a:extLst>
                <a:ext uri="{63B3BB69-23CF-44E3-9099-C40C66FF867C}">
                  <a14:compatExt spid="_x0000_s4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47</xdr:row>
          <xdr:rowOff>9525</xdr:rowOff>
        </xdr:from>
        <xdr:to>
          <xdr:col>16</xdr:col>
          <xdr:colOff>495300</xdr:colOff>
          <xdr:row>48</xdr:row>
          <xdr:rowOff>104775</xdr:rowOff>
        </xdr:to>
        <xdr:sp macro="" textlink="">
          <xdr:nvSpPr>
            <xdr:cNvPr id="4190" name="Object 94" hidden="1">
              <a:extLst>
                <a:ext uri="{63B3BB69-23CF-44E3-9099-C40C66FF867C}">
                  <a14:compatExt spid="_x0000_s4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47</xdr:row>
          <xdr:rowOff>19050</xdr:rowOff>
        </xdr:from>
        <xdr:to>
          <xdr:col>19</xdr:col>
          <xdr:colOff>276225</xdr:colOff>
          <xdr:row>48</xdr:row>
          <xdr:rowOff>114300</xdr:rowOff>
        </xdr:to>
        <xdr:sp macro="" textlink="">
          <xdr:nvSpPr>
            <xdr:cNvPr id="4191" name="Object 95" hidden="1">
              <a:extLst>
                <a:ext uri="{63B3BB69-23CF-44E3-9099-C40C66FF867C}">
                  <a14:compatExt spid="_x0000_s4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4</xdr:row>
          <xdr:rowOff>19050</xdr:rowOff>
        </xdr:from>
        <xdr:to>
          <xdr:col>26</xdr:col>
          <xdr:colOff>419100</xdr:colOff>
          <xdr:row>4</xdr:row>
          <xdr:rowOff>247650</xdr:rowOff>
        </xdr:to>
        <xdr:sp macro="" textlink="">
          <xdr:nvSpPr>
            <xdr:cNvPr id="4192" name="Object 96" hidden="1">
              <a:extLst>
                <a:ext uri="{63B3BB69-23CF-44E3-9099-C40C66FF867C}">
                  <a14:compatExt spid="_x0000_s4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xdr:row>
          <xdr:rowOff>28575</xdr:rowOff>
        </xdr:from>
        <xdr:to>
          <xdr:col>28</xdr:col>
          <xdr:colOff>19050</xdr:colOff>
          <xdr:row>4</xdr:row>
          <xdr:rowOff>257175</xdr:rowOff>
        </xdr:to>
        <xdr:sp macro="" textlink="">
          <xdr:nvSpPr>
            <xdr:cNvPr id="4194" name="Object 98" hidden="1">
              <a:extLst>
                <a:ext uri="{63B3BB69-23CF-44E3-9099-C40C66FF867C}">
                  <a14:compatExt spid="_x0000_s4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xdr:row>
          <xdr:rowOff>28575</xdr:rowOff>
        </xdr:from>
        <xdr:to>
          <xdr:col>28</xdr:col>
          <xdr:colOff>466725</xdr:colOff>
          <xdr:row>4</xdr:row>
          <xdr:rowOff>257175</xdr:rowOff>
        </xdr:to>
        <xdr:sp macro="" textlink="">
          <xdr:nvSpPr>
            <xdr:cNvPr id="4195" name="Object 99" hidden="1">
              <a:extLst>
                <a:ext uri="{63B3BB69-23CF-44E3-9099-C40C66FF867C}">
                  <a14:compatExt spid="_x0000_s4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4</xdr:row>
          <xdr:rowOff>28575</xdr:rowOff>
        </xdr:from>
        <xdr:to>
          <xdr:col>29</xdr:col>
          <xdr:colOff>419100</xdr:colOff>
          <xdr:row>4</xdr:row>
          <xdr:rowOff>238125</xdr:rowOff>
        </xdr:to>
        <xdr:sp macro="" textlink="">
          <xdr:nvSpPr>
            <xdr:cNvPr id="4196" name="Object 100" hidden="1">
              <a:extLst>
                <a:ext uri="{63B3BB69-23CF-44E3-9099-C40C66FF867C}">
                  <a14:compatExt spid="_x0000_s4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xdr:row>
          <xdr:rowOff>28575</xdr:rowOff>
        </xdr:from>
        <xdr:to>
          <xdr:col>30</xdr:col>
          <xdr:colOff>419100</xdr:colOff>
          <xdr:row>4</xdr:row>
          <xdr:rowOff>276225</xdr:rowOff>
        </xdr:to>
        <xdr:sp macro="" textlink="">
          <xdr:nvSpPr>
            <xdr:cNvPr id="4197" name="Object 101" hidden="1">
              <a:extLst>
                <a:ext uri="{63B3BB69-23CF-44E3-9099-C40C66FF867C}">
                  <a14:compatExt spid="_x0000_s4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476250</xdr:colOff>
          <xdr:row>4</xdr:row>
          <xdr:rowOff>38100</xdr:rowOff>
        </xdr:from>
        <xdr:to>
          <xdr:col>31</xdr:col>
          <xdr:colOff>457200</xdr:colOff>
          <xdr:row>4</xdr:row>
          <xdr:rowOff>266700</xdr:rowOff>
        </xdr:to>
        <xdr:sp macro="" textlink="">
          <xdr:nvSpPr>
            <xdr:cNvPr id="4198" name="Object 102" hidden="1">
              <a:extLst>
                <a:ext uri="{63B3BB69-23CF-44E3-9099-C40C66FF867C}">
                  <a14:compatExt spid="_x0000_s4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xdr:row>
          <xdr:rowOff>19050</xdr:rowOff>
        </xdr:from>
        <xdr:to>
          <xdr:col>18</xdr:col>
          <xdr:colOff>409575</xdr:colOff>
          <xdr:row>4</xdr:row>
          <xdr:rowOff>209550</xdr:rowOff>
        </xdr:to>
        <xdr:sp macro="" textlink="">
          <xdr:nvSpPr>
            <xdr:cNvPr id="4200" name="Object 104" hidden="1">
              <a:extLst>
                <a:ext uri="{63B3BB69-23CF-44E3-9099-C40C66FF867C}">
                  <a14:compatExt spid="_x0000_s4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4</xdr:row>
          <xdr:rowOff>66675</xdr:rowOff>
        </xdr:from>
        <xdr:to>
          <xdr:col>17</xdr:col>
          <xdr:colOff>352425</xdr:colOff>
          <xdr:row>4</xdr:row>
          <xdr:rowOff>228600</xdr:rowOff>
        </xdr:to>
        <xdr:sp macro="" textlink="">
          <xdr:nvSpPr>
            <xdr:cNvPr id="4201" name="Object 105" hidden="1">
              <a:extLst>
                <a:ext uri="{63B3BB69-23CF-44E3-9099-C40C66FF867C}">
                  <a14:compatExt spid="_x0000_s4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4</xdr:row>
          <xdr:rowOff>19050</xdr:rowOff>
        </xdr:from>
        <xdr:to>
          <xdr:col>16</xdr:col>
          <xdr:colOff>400050</xdr:colOff>
          <xdr:row>4</xdr:row>
          <xdr:rowOff>247650</xdr:rowOff>
        </xdr:to>
        <xdr:sp macro="" textlink="">
          <xdr:nvSpPr>
            <xdr:cNvPr id="4202" name="Object 106" hidden="1">
              <a:extLst>
                <a:ext uri="{63B3BB69-23CF-44E3-9099-C40C66FF867C}">
                  <a14:compatExt spid="_x0000_s4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46</xdr:row>
          <xdr:rowOff>66675</xdr:rowOff>
        </xdr:from>
        <xdr:to>
          <xdr:col>5</xdr:col>
          <xdr:colOff>447675</xdr:colOff>
          <xdr:row>49</xdr:row>
          <xdr:rowOff>57150</xdr:rowOff>
        </xdr:to>
        <xdr:sp macro="" textlink="">
          <xdr:nvSpPr>
            <xdr:cNvPr id="4207" name="Object 111" hidden="1">
              <a:extLst>
                <a:ext uri="{63B3BB69-23CF-44E3-9099-C40C66FF867C}">
                  <a14:compatExt spid="_x0000_s4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46</xdr:row>
          <xdr:rowOff>142875</xdr:rowOff>
        </xdr:from>
        <xdr:to>
          <xdr:col>9</xdr:col>
          <xdr:colOff>238125</xdr:colOff>
          <xdr:row>48</xdr:row>
          <xdr:rowOff>123825</xdr:rowOff>
        </xdr:to>
        <xdr:sp macro="" textlink="">
          <xdr:nvSpPr>
            <xdr:cNvPr id="4208" name="Object 112" hidden="1">
              <a:extLst>
                <a:ext uri="{63B3BB69-23CF-44E3-9099-C40C66FF867C}">
                  <a14:compatExt spid="_x0000_s4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46</xdr:row>
          <xdr:rowOff>28575</xdr:rowOff>
        </xdr:from>
        <xdr:to>
          <xdr:col>2</xdr:col>
          <xdr:colOff>704850</xdr:colOff>
          <xdr:row>49</xdr:row>
          <xdr:rowOff>85725</xdr:rowOff>
        </xdr:to>
        <xdr:sp macro="" textlink="">
          <xdr:nvSpPr>
            <xdr:cNvPr id="4211" name="Object 115" hidden="1">
              <a:extLst>
                <a:ext uri="{63B3BB69-23CF-44E3-9099-C40C66FF867C}">
                  <a14:compatExt spid="_x0000_s4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428625</xdr:colOff>
          <xdr:row>47</xdr:row>
          <xdr:rowOff>9525</xdr:rowOff>
        </xdr:from>
        <xdr:to>
          <xdr:col>14</xdr:col>
          <xdr:colOff>257175</xdr:colOff>
          <xdr:row>48</xdr:row>
          <xdr:rowOff>104775</xdr:rowOff>
        </xdr:to>
        <xdr:sp macro="" textlink="">
          <xdr:nvSpPr>
            <xdr:cNvPr id="4212" name="Object 116" hidden="1">
              <a:extLst>
                <a:ext uri="{63B3BB69-23CF-44E3-9099-C40C66FF867C}">
                  <a14:compatExt spid="_x0000_s4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4</xdr:row>
          <xdr:rowOff>38100</xdr:rowOff>
        </xdr:from>
        <xdr:to>
          <xdr:col>8</xdr:col>
          <xdr:colOff>381000</xdr:colOff>
          <xdr:row>4</xdr:row>
          <xdr:rowOff>228600</xdr:rowOff>
        </xdr:to>
        <xdr:sp macro="" textlink="">
          <xdr:nvSpPr>
            <xdr:cNvPr id="4228" name="Object 132" hidden="1">
              <a:extLst>
                <a:ext uri="{63B3BB69-23CF-44E3-9099-C40C66FF867C}">
                  <a14:compatExt spid="_x0000_s422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emf"/><Relationship Id="rId34" Type="http://schemas.openxmlformats.org/officeDocument/2006/relationships/oleObject" Target="../embeddings/oleObject16.bin"/><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image" Target="../media/image4.emf"/><Relationship Id="rId24" Type="http://schemas.openxmlformats.org/officeDocument/2006/relationships/oleObject" Target="../embeddings/oleObject11.bin"/><Relationship Id="rId32" Type="http://schemas.openxmlformats.org/officeDocument/2006/relationships/oleObject" Target="../embeddings/oleObject15.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oleObject" Target="../embeddings/oleObject13.bin"/><Relationship Id="rId36" Type="http://schemas.openxmlformats.org/officeDocument/2006/relationships/comments" Target="../comments1.xml"/><Relationship Id="rId10" Type="http://schemas.openxmlformats.org/officeDocument/2006/relationships/oleObject" Target="../embeddings/oleObject4.bin"/><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emf"/><Relationship Id="rId30" Type="http://schemas.openxmlformats.org/officeDocument/2006/relationships/oleObject" Target="../embeddings/oleObject14.bin"/><Relationship Id="rId35" Type="http://schemas.openxmlformats.org/officeDocument/2006/relationships/image" Target="../media/image16.emf"/></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oleObject" Target="../embeddings/oleObject19.bin"/><Relationship Id="rId13" Type="http://schemas.openxmlformats.org/officeDocument/2006/relationships/image" Target="../media/image21.emf"/><Relationship Id="rId18" Type="http://schemas.openxmlformats.org/officeDocument/2006/relationships/oleObject" Target="../embeddings/oleObject24.bin"/><Relationship Id="rId26" Type="http://schemas.openxmlformats.org/officeDocument/2006/relationships/oleObject" Target="../embeddings/oleObject29.bin"/><Relationship Id="rId3" Type="http://schemas.openxmlformats.org/officeDocument/2006/relationships/vmlDrawing" Target="../drawings/vmlDrawing3.vml"/><Relationship Id="rId21" Type="http://schemas.openxmlformats.org/officeDocument/2006/relationships/image" Target="../media/image25.emf"/><Relationship Id="rId7" Type="http://schemas.openxmlformats.org/officeDocument/2006/relationships/image" Target="../media/image18.emf"/><Relationship Id="rId12" Type="http://schemas.openxmlformats.org/officeDocument/2006/relationships/oleObject" Target="../embeddings/oleObject21.bin"/><Relationship Id="rId17" Type="http://schemas.openxmlformats.org/officeDocument/2006/relationships/image" Target="../media/image23.emf"/><Relationship Id="rId25" Type="http://schemas.openxmlformats.org/officeDocument/2006/relationships/oleObject" Target="../embeddings/oleObject28.bin"/><Relationship Id="rId2" Type="http://schemas.openxmlformats.org/officeDocument/2006/relationships/drawing" Target="../drawings/drawing4.xml"/><Relationship Id="rId16" Type="http://schemas.openxmlformats.org/officeDocument/2006/relationships/oleObject" Target="../embeddings/oleObject23.bin"/><Relationship Id="rId20" Type="http://schemas.openxmlformats.org/officeDocument/2006/relationships/oleObject" Target="../embeddings/oleObject25.bin"/><Relationship Id="rId29" Type="http://schemas.openxmlformats.org/officeDocument/2006/relationships/oleObject" Target="../embeddings/oleObject31.bin"/><Relationship Id="rId1" Type="http://schemas.openxmlformats.org/officeDocument/2006/relationships/printerSettings" Target="../printerSettings/printerSettings2.bin"/><Relationship Id="rId6" Type="http://schemas.openxmlformats.org/officeDocument/2006/relationships/oleObject" Target="../embeddings/oleObject18.bin"/><Relationship Id="rId11" Type="http://schemas.openxmlformats.org/officeDocument/2006/relationships/image" Target="../media/image20.emf"/><Relationship Id="rId24" Type="http://schemas.openxmlformats.org/officeDocument/2006/relationships/image" Target="../media/image26.emf"/><Relationship Id="rId5" Type="http://schemas.openxmlformats.org/officeDocument/2006/relationships/image" Target="../media/image17.emf"/><Relationship Id="rId15" Type="http://schemas.openxmlformats.org/officeDocument/2006/relationships/image" Target="../media/image22.emf"/><Relationship Id="rId23" Type="http://schemas.openxmlformats.org/officeDocument/2006/relationships/oleObject" Target="../embeddings/oleObject27.bin"/><Relationship Id="rId28" Type="http://schemas.openxmlformats.org/officeDocument/2006/relationships/image" Target="../media/image27.emf"/><Relationship Id="rId10" Type="http://schemas.openxmlformats.org/officeDocument/2006/relationships/oleObject" Target="../embeddings/oleObject20.bin"/><Relationship Id="rId19" Type="http://schemas.openxmlformats.org/officeDocument/2006/relationships/image" Target="../media/image24.emf"/><Relationship Id="rId31" Type="http://schemas.openxmlformats.org/officeDocument/2006/relationships/comments" Target="../comments3.xml"/><Relationship Id="rId4" Type="http://schemas.openxmlformats.org/officeDocument/2006/relationships/oleObject" Target="../embeddings/oleObject17.bin"/><Relationship Id="rId9" Type="http://schemas.openxmlformats.org/officeDocument/2006/relationships/image" Target="../media/image19.emf"/><Relationship Id="rId14" Type="http://schemas.openxmlformats.org/officeDocument/2006/relationships/oleObject" Target="../embeddings/oleObject22.bin"/><Relationship Id="rId22" Type="http://schemas.openxmlformats.org/officeDocument/2006/relationships/oleObject" Target="../embeddings/oleObject26.bin"/><Relationship Id="rId27" Type="http://schemas.openxmlformats.org/officeDocument/2006/relationships/oleObject" Target="../embeddings/oleObject30.bin"/><Relationship Id="rId30" Type="http://schemas.openxmlformats.org/officeDocument/2006/relationships/image" Target="../media/image28.emf"/></Relationships>
</file>

<file path=xl/worksheets/_rels/sheet5.xml.rels><?xml version="1.0" encoding="UTF-8" standalone="yes"?>
<Relationships xmlns="http://schemas.openxmlformats.org/package/2006/relationships"><Relationship Id="rId13" Type="http://schemas.openxmlformats.org/officeDocument/2006/relationships/image" Target="../media/image33.emf"/><Relationship Id="rId18" Type="http://schemas.openxmlformats.org/officeDocument/2006/relationships/oleObject" Target="../embeddings/oleObject39.bin"/><Relationship Id="rId26" Type="http://schemas.openxmlformats.org/officeDocument/2006/relationships/oleObject" Target="../embeddings/oleObject43.bin"/><Relationship Id="rId39" Type="http://schemas.openxmlformats.org/officeDocument/2006/relationships/oleObject" Target="../embeddings/oleObject50.bin"/><Relationship Id="rId21" Type="http://schemas.openxmlformats.org/officeDocument/2006/relationships/image" Target="../media/image37.emf"/><Relationship Id="rId34" Type="http://schemas.openxmlformats.org/officeDocument/2006/relationships/oleObject" Target="../embeddings/oleObject47.bin"/><Relationship Id="rId42" Type="http://schemas.openxmlformats.org/officeDocument/2006/relationships/image" Target="../media/image47.emf"/><Relationship Id="rId47" Type="http://schemas.openxmlformats.org/officeDocument/2006/relationships/oleObject" Target="../embeddings/oleObject54.bin"/><Relationship Id="rId50" Type="http://schemas.openxmlformats.org/officeDocument/2006/relationships/image" Target="../media/image51.emf"/><Relationship Id="rId55" Type="http://schemas.openxmlformats.org/officeDocument/2006/relationships/oleObject" Target="../embeddings/oleObject58.bin"/><Relationship Id="rId63" Type="http://schemas.openxmlformats.org/officeDocument/2006/relationships/oleObject" Target="../embeddings/oleObject62.bin"/><Relationship Id="rId68" Type="http://schemas.openxmlformats.org/officeDocument/2006/relationships/oleObject" Target="../embeddings/oleObject66.bin"/><Relationship Id="rId76" Type="http://schemas.openxmlformats.org/officeDocument/2006/relationships/oleObject" Target="../embeddings/oleObject70.bin"/><Relationship Id="rId7" Type="http://schemas.openxmlformats.org/officeDocument/2006/relationships/image" Target="../media/image30.emf"/><Relationship Id="rId71" Type="http://schemas.openxmlformats.org/officeDocument/2006/relationships/image" Target="../media/image60.emf"/><Relationship Id="rId2" Type="http://schemas.openxmlformats.org/officeDocument/2006/relationships/drawing" Target="../drawings/drawing6.xml"/><Relationship Id="rId16" Type="http://schemas.openxmlformats.org/officeDocument/2006/relationships/oleObject" Target="../embeddings/oleObject38.bin"/><Relationship Id="rId29" Type="http://schemas.openxmlformats.org/officeDocument/2006/relationships/image" Target="../media/image41.emf"/><Relationship Id="rId11" Type="http://schemas.openxmlformats.org/officeDocument/2006/relationships/image" Target="../media/image32.emf"/><Relationship Id="rId24" Type="http://schemas.openxmlformats.org/officeDocument/2006/relationships/oleObject" Target="../embeddings/oleObject42.bin"/><Relationship Id="rId32" Type="http://schemas.openxmlformats.org/officeDocument/2006/relationships/oleObject" Target="../embeddings/oleObject46.bin"/><Relationship Id="rId37" Type="http://schemas.openxmlformats.org/officeDocument/2006/relationships/oleObject" Target="../embeddings/oleObject49.bin"/><Relationship Id="rId40" Type="http://schemas.openxmlformats.org/officeDocument/2006/relationships/image" Target="../media/image46.emf"/><Relationship Id="rId45" Type="http://schemas.openxmlformats.org/officeDocument/2006/relationships/oleObject" Target="../embeddings/oleObject53.bin"/><Relationship Id="rId53" Type="http://schemas.openxmlformats.org/officeDocument/2006/relationships/oleObject" Target="../embeddings/oleObject57.bin"/><Relationship Id="rId58" Type="http://schemas.openxmlformats.org/officeDocument/2006/relationships/image" Target="../media/image55.emf"/><Relationship Id="rId66" Type="http://schemas.openxmlformats.org/officeDocument/2006/relationships/oleObject" Target="../embeddings/oleObject64.bin"/><Relationship Id="rId74" Type="http://schemas.openxmlformats.org/officeDocument/2006/relationships/oleObject" Target="../embeddings/oleObject69.bin"/><Relationship Id="rId5" Type="http://schemas.openxmlformats.org/officeDocument/2006/relationships/image" Target="../media/image29.emf"/><Relationship Id="rId15" Type="http://schemas.openxmlformats.org/officeDocument/2006/relationships/image" Target="../media/image34.emf"/><Relationship Id="rId23" Type="http://schemas.openxmlformats.org/officeDocument/2006/relationships/image" Target="../media/image38.emf"/><Relationship Id="rId28" Type="http://schemas.openxmlformats.org/officeDocument/2006/relationships/oleObject" Target="../embeddings/oleObject44.bin"/><Relationship Id="rId36" Type="http://schemas.openxmlformats.org/officeDocument/2006/relationships/image" Target="../media/image44.emf"/><Relationship Id="rId49" Type="http://schemas.openxmlformats.org/officeDocument/2006/relationships/oleObject" Target="../embeddings/oleObject55.bin"/><Relationship Id="rId57" Type="http://schemas.openxmlformats.org/officeDocument/2006/relationships/oleObject" Target="../embeddings/oleObject59.bin"/><Relationship Id="rId61" Type="http://schemas.openxmlformats.org/officeDocument/2006/relationships/oleObject" Target="../embeddings/oleObject61.bin"/><Relationship Id="rId10" Type="http://schemas.openxmlformats.org/officeDocument/2006/relationships/oleObject" Target="../embeddings/oleObject35.bin"/><Relationship Id="rId19" Type="http://schemas.openxmlformats.org/officeDocument/2006/relationships/image" Target="../media/image36.emf"/><Relationship Id="rId31" Type="http://schemas.openxmlformats.org/officeDocument/2006/relationships/image" Target="../media/image42.emf"/><Relationship Id="rId44" Type="http://schemas.openxmlformats.org/officeDocument/2006/relationships/image" Target="../media/image48.emf"/><Relationship Id="rId52" Type="http://schemas.openxmlformats.org/officeDocument/2006/relationships/image" Target="../media/image52.emf"/><Relationship Id="rId60" Type="http://schemas.openxmlformats.org/officeDocument/2006/relationships/image" Target="../media/image56.emf"/><Relationship Id="rId65" Type="http://schemas.openxmlformats.org/officeDocument/2006/relationships/oleObject" Target="../embeddings/oleObject63.bin"/><Relationship Id="rId73" Type="http://schemas.openxmlformats.org/officeDocument/2006/relationships/image" Target="../media/image61.emf"/><Relationship Id="rId78" Type="http://schemas.openxmlformats.org/officeDocument/2006/relationships/comments" Target="../comments4.xml"/><Relationship Id="rId4" Type="http://schemas.openxmlformats.org/officeDocument/2006/relationships/oleObject" Target="../embeddings/oleObject32.bin"/><Relationship Id="rId9" Type="http://schemas.openxmlformats.org/officeDocument/2006/relationships/image" Target="../media/image31.emf"/><Relationship Id="rId14" Type="http://schemas.openxmlformats.org/officeDocument/2006/relationships/oleObject" Target="../embeddings/oleObject37.bin"/><Relationship Id="rId22" Type="http://schemas.openxmlformats.org/officeDocument/2006/relationships/oleObject" Target="../embeddings/oleObject41.bin"/><Relationship Id="rId27" Type="http://schemas.openxmlformats.org/officeDocument/2006/relationships/image" Target="../media/image40.emf"/><Relationship Id="rId30" Type="http://schemas.openxmlformats.org/officeDocument/2006/relationships/oleObject" Target="../embeddings/oleObject45.bin"/><Relationship Id="rId35" Type="http://schemas.openxmlformats.org/officeDocument/2006/relationships/oleObject" Target="../embeddings/oleObject48.bin"/><Relationship Id="rId43" Type="http://schemas.openxmlformats.org/officeDocument/2006/relationships/oleObject" Target="../embeddings/oleObject52.bin"/><Relationship Id="rId48" Type="http://schemas.openxmlformats.org/officeDocument/2006/relationships/image" Target="../media/image50.emf"/><Relationship Id="rId56" Type="http://schemas.openxmlformats.org/officeDocument/2006/relationships/image" Target="../media/image54.emf"/><Relationship Id="rId64" Type="http://schemas.openxmlformats.org/officeDocument/2006/relationships/image" Target="../media/image58.emf"/><Relationship Id="rId69" Type="http://schemas.openxmlformats.org/officeDocument/2006/relationships/image" Target="../media/image59.emf"/><Relationship Id="rId77" Type="http://schemas.openxmlformats.org/officeDocument/2006/relationships/image" Target="../media/image63.emf"/><Relationship Id="rId8" Type="http://schemas.openxmlformats.org/officeDocument/2006/relationships/oleObject" Target="../embeddings/oleObject34.bin"/><Relationship Id="rId51" Type="http://schemas.openxmlformats.org/officeDocument/2006/relationships/oleObject" Target="../embeddings/oleObject56.bin"/><Relationship Id="rId72" Type="http://schemas.openxmlformats.org/officeDocument/2006/relationships/oleObject" Target="../embeddings/oleObject68.bin"/><Relationship Id="rId3" Type="http://schemas.openxmlformats.org/officeDocument/2006/relationships/vmlDrawing" Target="../drawings/vmlDrawing4.vml"/><Relationship Id="rId12" Type="http://schemas.openxmlformats.org/officeDocument/2006/relationships/oleObject" Target="../embeddings/oleObject36.bin"/><Relationship Id="rId17" Type="http://schemas.openxmlformats.org/officeDocument/2006/relationships/image" Target="../media/image35.emf"/><Relationship Id="rId25" Type="http://schemas.openxmlformats.org/officeDocument/2006/relationships/image" Target="../media/image39.emf"/><Relationship Id="rId33" Type="http://schemas.openxmlformats.org/officeDocument/2006/relationships/image" Target="../media/image43.emf"/><Relationship Id="rId38" Type="http://schemas.openxmlformats.org/officeDocument/2006/relationships/image" Target="../media/image45.emf"/><Relationship Id="rId46" Type="http://schemas.openxmlformats.org/officeDocument/2006/relationships/image" Target="../media/image49.emf"/><Relationship Id="rId59" Type="http://schemas.openxmlformats.org/officeDocument/2006/relationships/oleObject" Target="../embeddings/oleObject60.bin"/><Relationship Id="rId67" Type="http://schemas.openxmlformats.org/officeDocument/2006/relationships/oleObject" Target="../embeddings/oleObject65.bin"/><Relationship Id="rId20" Type="http://schemas.openxmlformats.org/officeDocument/2006/relationships/oleObject" Target="../embeddings/oleObject40.bin"/><Relationship Id="rId41" Type="http://schemas.openxmlformats.org/officeDocument/2006/relationships/oleObject" Target="../embeddings/oleObject51.bin"/><Relationship Id="rId54" Type="http://schemas.openxmlformats.org/officeDocument/2006/relationships/image" Target="../media/image53.emf"/><Relationship Id="rId62" Type="http://schemas.openxmlformats.org/officeDocument/2006/relationships/image" Target="../media/image57.emf"/><Relationship Id="rId70" Type="http://schemas.openxmlformats.org/officeDocument/2006/relationships/oleObject" Target="../embeddings/oleObject67.bin"/><Relationship Id="rId75" Type="http://schemas.openxmlformats.org/officeDocument/2006/relationships/image" Target="../media/image62.emf"/><Relationship Id="rId1" Type="http://schemas.openxmlformats.org/officeDocument/2006/relationships/printerSettings" Target="../printerSettings/printerSettings3.bin"/><Relationship Id="rId6" Type="http://schemas.openxmlformats.org/officeDocument/2006/relationships/oleObject" Target="../embeddings/oleObject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sheetPr>
  <dimension ref="A1:K35"/>
  <sheetViews>
    <sheetView tabSelected="1" zoomScaleNormal="100" workbookViewId="0">
      <selection activeCell="E46" sqref="E46"/>
    </sheetView>
  </sheetViews>
  <sheetFormatPr defaultRowHeight="12" x14ac:dyDescent="0.2"/>
  <cols>
    <col min="1" max="1" width="11.7109375" style="6" customWidth="1"/>
    <col min="2" max="2" width="11" style="6" customWidth="1"/>
    <col min="3" max="3" width="12" style="6" customWidth="1"/>
    <col min="4" max="4" width="12.7109375" style="6" customWidth="1"/>
    <col min="5" max="5" width="10.5703125" style="6" customWidth="1"/>
    <col min="6" max="6" width="11.140625" style="6" customWidth="1"/>
    <col min="7" max="7" width="11.5703125" style="6" customWidth="1"/>
    <col min="8" max="8" width="11.42578125" style="6" customWidth="1"/>
    <col min="9" max="9" width="11.28515625" style="6" customWidth="1"/>
    <col min="10" max="11" width="9.5703125" style="6" customWidth="1"/>
    <col min="12" max="12" width="9.140625" style="6"/>
    <col min="13" max="13" width="10.42578125" style="6" customWidth="1"/>
    <col min="14" max="19" width="9.140625" style="6"/>
    <col min="20" max="20" width="13.42578125" style="6" customWidth="1"/>
    <col min="21" max="16384" width="9.140625" style="6"/>
  </cols>
  <sheetData>
    <row r="1" spans="1:5" s="162" customFormat="1" ht="23.25" x14ac:dyDescent="0.2">
      <c r="A1" s="161" t="s">
        <v>84</v>
      </c>
    </row>
    <row r="11" spans="1:5" ht="12.75" x14ac:dyDescent="0.2">
      <c r="A11" s="65" t="s">
        <v>85</v>
      </c>
    </row>
    <row r="12" spans="1:5" x14ac:dyDescent="0.2">
      <c r="A12" s="66" t="s">
        <v>86</v>
      </c>
    </row>
    <row r="13" spans="1:5" x14ac:dyDescent="0.2">
      <c r="A13" s="67" t="s">
        <v>87</v>
      </c>
    </row>
    <row r="15" spans="1:5" ht="12.75" x14ac:dyDescent="0.2">
      <c r="A15" s="65" t="s">
        <v>83</v>
      </c>
    </row>
    <row r="16" spans="1:5" ht="12.75" customHeight="1" x14ac:dyDescent="0.2">
      <c r="A16" s="54" t="s">
        <v>0</v>
      </c>
      <c r="B16" s="55"/>
      <c r="C16" s="4">
        <f>5.67 * 10^-8</f>
        <v>5.6699999999999998E-8</v>
      </c>
      <c r="D16" s="5" t="s">
        <v>82</v>
      </c>
      <c r="E16" s="9" t="s">
        <v>191</v>
      </c>
    </row>
    <row r="17" spans="1:11" x14ac:dyDescent="0.2">
      <c r="A17" s="54" t="s">
        <v>76</v>
      </c>
      <c r="B17" s="55"/>
      <c r="C17" s="53">
        <v>0.995</v>
      </c>
      <c r="D17" s="5">
        <v>1</v>
      </c>
      <c r="E17" s="9" t="s">
        <v>192</v>
      </c>
    </row>
    <row r="18" spans="1:11" ht="12" customHeight="1" x14ac:dyDescent="0.2">
      <c r="A18" s="54" t="s">
        <v>67</v>
      </c>
      <c r="B18" s="55"/>
      <c r="C18" s="138">
        <f xml:space="preserve"> sigma * epsilon</f>
        <v>5.6416500000000001E-8</v>
      </c>
      <c r="D18" s="5" t="s">
        <v>82</v>
      </c>
      <c r="E18" s="5"/>
    </row>
    <row r="20" spans="1:11" x14ac:dyDescent="0.2">
      <c r="I20" s="153"/>
      <c r="J20" s="153"/>
      <c r="K20" s="153"/>
    </row>
    <row r="21" spans="1:11" ht="12.75" x14ac:dyDescent="0.2">
      <c r="A21" s="65" t="s">
        <v>272</v>
      </c>
      <c r="I21" s="153"/>
      <c r="J21" s="153"/>
      <c r="K21" s="153"/>
    </row>
    <row r="22" spans="1:11" ht="12" customHeight="1" x14ac:dyDescent="0.25">
      <c r="B22" s="220" t="s">
        <v>211</v>
      </c>
      <c r="C22" s="223"/>
      <c r="D22" s="224"/>
      <c r="E22" s="220" t="s">
        <v>214</v>
      </c>
      <c r="F22" s="221"/>
      <c r="G22" s="220" t="s">
        <v>215</v>
      </c>
      <c r="H22" s="221"/>
    </row>
    <row r="23" spans="1:11" x14ac:dyDescent="0.2">
      <c r="B23" s="152" t="s">
        <v>269</v>
      </c>
      <c r="C23" s="152" t="s">
        <v>213</v>
      </c>
      <c r="D23" s="152" t="s">
        <v>212</v>
      </c>
      <c r="E23" s="152" t="s">
        <v>213</v>
      </c>
      <c r="F23" s="152" t="s">
        <v>212</v>
      </c>
      <c r="G23" s="152" t="s">
        <v>213</v>
      </c>
      <c r="H23" s="152" t="s">
        <v>212</v>
      </c>
    </row>
    <row r="24" spans="1:11" x14ac:dyDescent="0.2">
      <c r="A24" s="216" t="s">
        <v>266</v>
      </c>
      <c r="B24" s="148">
        <v>1.17</v>
      </c>
      <c r="C24" s="148">
        <v>1.1299999999999999</v>
      </c>
      <c r="D24" s="148">
        <v>1.21</v>
      </c>
      <c r="E24" s="150">
        <f xml:space="preserve"> B24 - C24</f>
        <v>4.0000000000000036E-2</v>
      </c>
      <c r="F24" s="150">
        <f xml:space="preserve"> D24 - B24</f>
        <v>4.0000000000000036E-2</v>
      </c>
      <c r="G24" s="150">
        <f xml:space="preserve"> (B24 - C24) / B24</f>
        <v>3.4188034188034219E-2</v>
      </c>
      <c r="H24" s="150">
        <f xml:space="preserve"> (D24 - B24) / B24</f>
        <v>3.4188034188034219E-2</v>
      </c>
    </row>
    <row r="25" spans="1:11" x14ac:dyDescent="0.2">
      <c r="A25" s="217" t="s">
        <v>267</v>
      </c>
      <c r="B25" s="155">
        <v>1.7</v>
      </c>
      <c r="C25" s="155">
        <v>1.3</v>
      </c>
      <c r="D25" s="155">
        <v>2.2999999999999998</v>
      </c>
      <c r="E25" s="20">
        <f xml:space="preserve"> B25 - C25</f>
        <v>0.39999999999999991</v>
      </c>
      <c r="F25" s="20">
        <f xml:space="preserve"> D25 - B25</f>
        <v>0.59999999999999987</v>
      </c>
      <c r="G25" s="20">
        <f xml:space="preserve"> (B25 - C25) / B25</f>
        <v>0.23529411764705876</v>
      </c>
      <c r="H25" s="20">
        <f xml:space="preserve"> (D25 - B25) / B25</f>
        <v>0.35294117647058815</v>
      </c>
    </row>
    <row r="26" spans="1:11" x14ac:dyDescent="0.2">
      <c r="A26" s="218" t="s">
        <v>268</v>
      </c>
      <c r="B26" s="149">
        <v>0.3</v>
      </c>
      <c r="C26" s="149">
        <v>-0.4</v>
      </c>
      <c r="D26" s="149">
        <v>1</v>
      </c>
      <c r="E26" s="151">
        <f xml:space="preserve"> B26 - C26</f>
        <v>0.7</v>
      </c>
      <c r="F26" s="151">
        <f xml:space="preserve"> D26 - B26</f>
        <v>0.7</v>
      </c>
      <c r="G26" s="151">
        <f xml:space="preserve"> (B26 - C26) / B26</f>
        <v>2.3333333333333335</v>
      </c>
      <c r="H26" s="151">
        <f xml:space="preserve"> (D26 - B26) / B26</f>
        <v>2.3333333333333335</v>
      </c>
    </row>
    <row r="28" spans="1:11" ht="12" customHeight="1" x14ac:dyDescent="0.25">
      <c r="B28" s="220" t="s">
        <v>216</v>
      </c>
      <c r="C28" s="222"/>
      <c r="D28" s="222"/>
      <c r="E28" s="221"/>
      <c r="F28" s="220" t="s">
        <v>218</v>
      </c>
      <c r="G28" s="221"/>
      <c r="H28" s="220" t="s">
        <v>219</v>
      </c>
      <c r="I28" s="221"/>
    </row>
    <row r="29" spans="1:11" x14ac:dyDescent="0.2">
      <c r="B29" s="152" t="s">
        <v>211</v>
      </c>
      <c r="C29" s="152" t="s">
        <v>213</v>
      </c>
      <c r="D29" s="152" t="s">
        <v>212</v>
      </c>
      <c r="E29" s="154" t="s">
        <v>217</v>
      </c>
      <c r="F29" s="152" t="s">
        <v>213</v>
      </c>
      <c r="G29" s="152" t="s">
        <v>212</v>
      </c>
      <c r="H29" s="152" t="s">
        <v>213</v>
      </c>
      <c r="I29" s="152" t="s">
        <v>212</v>
      </c>
    </row>
    <row r="30" spans="1:11" x14ac:dyDescent="0.2">
      <c r="A30" s="9" t="s">
        <v>271</v>
      </c>
      <c r="B30" s="150">
        <f xml:space="preserve"> B24 + B25</f>
        <v>2.87</v>
      </c>
      <c r="C30" s="150">
        <f xml:space="preserve"> B30 - F30</f>
        <v>2.4680049751551647</v>
      </c>
      <c r="D30" s="150">
        <f xml:space="preserve"> B30 + G30</f>
        <v>3.4713318551349164</v>
      </c>
      <c r="E30" s="150" t="str">
        <f xml:space="preserve"> IF(ABS((B30 - C30) - (D30 - B30)) &lt; 0.000001, B30 - C30, "")</f>
        <v/>
      </c>
      <c r="F30" s="150">
        <f xml:space="preserve"> SQRT(E24 * E24 + E25 * E25)</f>
        <v>0.40199502484483551</v>
      </c>
      <c r="G30" s="150">
        <f xml:space="preserve"> SQRT(F24 * F24 + F25 * F25)</f>
        <v>0.60133185513491616</v>
      </c>
      <c r="H30" s="150">
        <f xml:space="preserve"> F30 / B30</f>
        <v>0.14006795290760818</v>
      </c>
      <c r="I30" s="150">
        <f xml:space="preserve"> G30 / B30</f>
        <v>0.20952329447209622</v>
      </c>
    </row>
    <row r="31" spans="1:11" x14ac:dyDescent="0.2">
      <c r="A31" s="9" t="s">
        <v>273</v>
      </c>
      <c r="B31" s="30">
        <f xml:space="preserve"> B24 - B25</f>
        <v>-0.53</v>
      </c>
      <c r="C31" s="150">
        <f xml:space="preserve"> B31 - F31</f>
        <v>-0.93199502484483554</v>
      </c>
      <c r="D31" s="150">
        <f xml:space="preserve"> B31 + G31</f>
        <v>7.1331855134916133E-2</v>
      </c>
      <c r="E31" s="150" t="str">
        <f t="shared" ref="E31:E34" si="0" xml:space="preserve"> IF(ABS((B31 - C31) - (D31 - B31)) &lt; 0.000001, B31 - C31, "")</f>
        <v/>
      </c>
      <c r="F31" s="150">
        <f xml:space="preserve"> SQRT(E24 * E24 + E25 * E25)</f>
        <v>0.40199502484483551</v>
      </c>
      <c r="G31" s="150">
        <f xml:space="preserve"> SQRT(F24 * F24 + F25 * F25)</f>
        <v>0.60133185513491616</v>
      </c>
      <c r="H31" s="150">
        <f xml:space="preserve"> ABS(F31 / B31)</f>
        <v>0.75848117895251976</v>
      </c>
      <c r="I31" s="150">
        <f xml:space="preserve"> ABS(G31 / B31)</f>
        <v>1.134588405914936</v>
      </c>
    </row>
    <row r="32" spans="1:11" x14ac:dyDescent="0.2">
      <c r="A32" s="9" t="s">
        <v>270</v>
      </c>
      <c r="B32" s="30">
        <f xml:space="preserve"> B24 * B25</f>
        <v>1.9889999999999999</v>
      </c>
      <c r="C32" s="30">
        <f xml:space="preserve"> B32 - H32 * B32</f>
        <v>1.5160856314299596</v>
      </c>
      <c r="D32" s="30">
        <f xml:space="preserve"> B32 + I32 * B32</f>
        <v>2.6942857576897463</v>
      </c>
      <c r="E32" s="150" t="str">
        <f t="shared" si="0"/>
        <v/>
      </c>
      <c r="F32" s="30">
        <f xml:space="preserve"> B32 - C32</f>
        <v>0.47291436857004032</v>
      </c>
      <c r="G32" s="30">
        <f xml:space="preserve"> D32 - B32</f>
        <v>0.70528575768974644</v>
      </c>
      <c r="H32" s="30">
        <f xml:space="preserve"> SQRT(G24 * G24 + G25 * G25)</f>
        <v>0.23776489118654615</v>
      </c>
      <c r="I32" s="30">
        <f xml:space="preserve"> SQRT(H24 * H24 + H25 * H25)</f>
        <v>0.35459314112103896</v>
      </c>
    </row>
    <row r="33" spans="1:9" x14ac:dyDescent="0.2">
      <c r="A33" s="9" t="s">
        <v>274</v>
      </c>
      <c r="B33" s="30">
        <f xml:space="preserve"> B24 / B25</f>
        <v>0.68823529411764706</v>
      </c>
      <c r="C33" s="30">
        <f xml:space="preserve"> B33 - H33 * B33</f>
        <v>0.52459710430102413</v>
      </c>
      <c r="D33" s="30">
        <f xml:space="preserve"> B33 + I33 * B33</f>
        <v>0.93227880888918557</v>
      </c>
      <c r="E33" s="150" t="str">
        <f t="shared" si="0"/>
        <v/>
      </c>
      <c r="F33" s="30">
        <f xml:space="preserve"> B33 - C33</f>
        <v>0.16363818981662293</v>
      </c>
      <c r="G33" s="30">
        <f xml:space="preserve"> D33 - B33</f>
        <v>0.24404351477153852</v>
      </c>
      <c r="H33" s="30">
        <f xml:space="preserve"> SQRT(G24 * G24 + G25 * G25)</f>
        <v>0.23776489118654615</v>
      </c>
      <c r="I33" s="30">
        <f xml:space="preserve"> SQRT(H24 * H24 + H25 * H25)</f>
        <v>0.35459314112103896</v>
      </c>
    </row>
    <row r="34" spans="1:9" x14ac:dyDescent="0.2">
      <c r="A34" s="143" t="s">
        <v>275</v>
      </c>
      <c r="B34" s="150">
        <f xml:space="preserve"> B24+B25+B26</f>
        <v>3.17</v>
      </c>
      <c r="C34" s="150">
        <f xml:space="preserve"> B34 - F34</f>
        <v>2.3627825571755774</v>
      </c>
      <c r="D34" s="150">
        <f xml:space="preserve"> B34 + G34</f>
        <v>4.092821759604746</v>
      </c>
      <c r="E34" s="150" t="str">
        <f t="shared" si="0"/>
        <v/>
      </c>
      <c r="F34" s="150">
        <f xml:space="preserve"> SQRT(E24 * E24 + E25 * E25 + E26 * E26)</f>
        <v>0.80721744282442254</v>
      </c>
      <c r="G34" s="150">
        <f xml:space="preserve"> SQRT(F24 * F24 + F25 * F25 + F26 * F26)</f>
        <v>0.92282175960474599</v>
      </c>
      <c r="H34" s="150">
        <f xml:space="preserve"> F34 / B34</f>
        <v>0.25464272644303548</v>
      </c>
      <c r="I34" s="150">
        <f xml:space="preserve"> G34 / B34</f>
        <v>0.29111096517499874</v>
      </c>
    </row>
    <row r="35" spans="1:9" x14ac:dyDescent="0.2">
      <c r="A35" s="29"/>
      <c r="B35" s="29"/>
      <c r="C35" s="29"/>
      <c r="D35" s="29"/>
      <c r="E35" s="29"/>
      <c r="F35" s="29"/>
      <c r="G35" s="29"/>
      <c r="H35" s="29"/>
      <c r="I35" s="29"/>
    </row>
  </sheetData>
  <mergeCells count="6">
    <mergeCell ref="H28:I28"/>
    <mergeCell ref="B28:E28"/>
    <mergeCell ref="B22:D22"/>
    <mergeCell ref="E22:F22"/>
    <mergeCell ref="G22:H22"/>
    <mergeCell ref="F28:G28"/>
  </mergeCells>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33CC33"/>
  </sheetPr>
  <dimension ref="A1:I240"/>
  <sheetViews>
    <sheetView zoomScaleNormal="100" workbookViewId="0">
      <pane ySplit="1" topLeftCell="A2" activePane="bottomLeft" state="frozen"/>
      <selection pane="bottomLeft" activeCell="F70" sqref="F70"/>
    </sheetView>
  </sheetViews>
  <sheetFormatPr defaultRowHeight="12" x14ac:dyDescent="0.2"/>
  <cols>
    <col min="1" max="1" width="12.85546875" style="6" customWidth="1"/>
    <col min="2" max="2" width="12.28515625" style="6" customWidth="1"/>
    <col min="3" max="3" width="12" style="6" customWidth="1"/>
    <col min="4" max="4" width="14.5703125" style="6" customWidth="1"/>
    <col min="5" max="5" width="15" style="6" customWidth="1"/>
    <col min="6" max="6" width="11.7109375" style="6" customWidth="1"/>
    <col min="7" max="7" width="11.5703125" style="6" customWidth="1"/>
    <col min="8" max="8" width="11.7109375" style="6" customWidth="1"/>
    <col min="9" max="9" width="11.28515625" style="6" customWidth="1"/>
    <col min="10" max="10" width="9.5703125" style="6" customWidth="1"/>
    <col min="11" max="12" width="10.42578125" style="6" customWidth="1"/>
    <col min="13" max="13" width="10.28515625" style="6" customWidth="1"/>
    <col min="14" max="14" width="10.28515625" style="6" bestFit="1" customWidth="1"/>
    <col min="15" max="15" width="9.140625" style="6"/>
    <col min="16" max="16" width="11.140625" style="6" customWidth="1"/>
    <col min="17" max="17" width="11.28515625" style="6" customWidth="1"/>
    <col min="18" max="18" width="10.85546875" style="6" bestFit="1" customWidth="1"/>
    <col min="19" max="19" width="9.85546875" style="6" customWidth="1"/>
    <col min="20" max="20" width="10.85546875" style="6" customWidth="1"/>
    <col min="21" max="22" width="9.140625" style="6"/>
    <col min="23" max="23" width="9.42578125" style="6" bestFit="1" customWidth="1"/>
    <col min="24" max="24" width="10.5703125" style="6" customWidth="1"/>
    <col min="25" max="16384" width="9.140625" style="6"/>
  </cols>
  <sheetData>
    <row r="1" spans="1:9" s="140" customFormat="1" ht="23.25" x14ac:dyDescent="0.2">
      <c r="A1" s="139" t="s">
        <v>245</v>
      </c>
    </row>
    <row r="2" spans="1:9" x14ac:dyDescent="0.2">
      <c r="F2" s="70"/>
      <c r="G2" s="70"/>
      <c r="H2" s="70"/>
      <c r="I2" s="70"/>
    </row>
    <row r="3" spans="1:9" ht="12.75" x14ac:dyDescent="0.2">
      <c r="A3" s="65" t="s">
        <v>83</v>
      </c>
      <c r="G3" s="70"/>
      <c r="H3" s="70"/>
      <c r="I3" s="70"/>
    </row>
    <row r="4" spans="1:9" ht="12" customHeight="1" x14ac:dyDescent="0.2">
      <c r="A4" s="54" t="s">
        <v>234</v>
      </c>
      <c r="B4" s="55"/>
      <c r="C4" s="92">
        <v>6.5</v>
      </c>
      <c r="D4" s="5" t="s">
        <v>118</v>
      </c>
    </row>
    <row r="5" spans="1:9" ht="12" customHeight="1" x14ac:dyDescent="0.2">
      <c r="A5" s="54" t="s">
        <v>233</v>
      </c>
      <c r="B5" s="55"/>
      <c r="C5" s="8">
        <v>288</v>
      </c>
      <c r="D5" s="5" t="s">
        <v>18</v>
      </c>
    </row>
    <row r="6" spans="1:9" ht="12" customHeight="1" x14ac:dyDescent="0.2">
      <c r="A6" s="54" t="s">
        <v>235</v>
      </c>
      <c r="B6" s="55"/>
      <c r="C6" s="53">
        <v>0.62</v>
      </c>
      <c r="D6" s="5"/>
    </row>
    <row r="7" spans="1:9" ht="12" customHeight="1" x14ac:dyDescent="0.2">
      <c r="A7" s="65"/>
    </row>
    <row r="8" spans="1:9" ht="12.75" x14ac:dyDescent="0.2">
      <c r="A8" s="65" t="s">
        <v>229</v>
      </c>
    </row>
    <row r="9" spans="1:9" ht="24" x14ac:dyDescent="0.2">
      <c r="A9" s="73" t="s">
        <v>95</v>
      </c>
      <c r="B9" s="73" t="s">
        <v>96</v>
      </c>
      <c r="C9" s="73" t="s">
        <v>97</v>
      </c>
      <c r="D9" s="73" t="s">
        <v>98</v>
      </c>
    </row>
    <row r="10" spans="1:9" x14ac:dyDescent="0.2">
      <c r="A10" s="74" t="s">
        <v>57</v>
      </c>
      <c r="B10" s="75"/>
      <c r="C10" s="75"/>
      <c r="D10" s="76"/>
    </row>
    <row r="11" spans="1:9" x14ac:dyDescent="0.2">
      <c r="A11" s="77" t="s">
        <v>99</v>
      </c>
      <c r="B11" s="78">
        <f xml:space="preserve"> 0.6 * 1.95</f>
        <v>1.17</v>
      </c>
      <c r="C11" s="78">
        <f xml:space="preserve"> 0.5 * 1.55</f>
        <v>0.77500000000000002</v>
      </c>
      <c r="D11" s="79"/>
    </row>
    <row r="12" spans="1:9" x14ac:dyDescent="0.2">
      <c r="A12" s="77" t="s">
        <v>100</v>
      </c>
      <c r="B12" s="78">
        <f xml:space="preserve"> 1.1 * 2.9</f>
        <v>3.19</v>
      </c>
      <c r="C12" s="78">
        <f xml:space="preserve"> 1.05 * 2.7</f>
        <v>2.8350000000000004</v>
      </c>
      <c r="D12" s="79"/>
    </row>
    <row r="13" spans="1:9" x14ac:dyDescent="0.2">
      <c r="A13" s="77" t="s">
        <v>101</v>
      </c>
      <c r="B13" s="78">
        <f xml:space="preserve"> 3.3 * 2.95</f>
        <v>9.7349999999999994</v>
      </c>
      <c r="C13" s="78">
        <f xml:space="preserve"> 3.3 * 2.65</f>
        <v>8.7449999999999992</v>
      </c>
      <c r="D13" s="79"/>
    </row>
    <row r="14" spans="1:9" x14ac:dyDescent="0.2">
      <c r="A14" s="77" t="s">
        <v>102</v>
      </c>
      <c r="B14" s="78">
        <f xml:space="preserve"> 0.25 * 2.55</f>
        <v>0.63749999999999996</v>
      </c>
      <c r="C14" s="78">
        <f xml:space="preserve"> 0.25 * 3.4</f>
        <v>0.85</v>
      </c>
      <c r="D14" s="79"/>
    </row>
    <row r="15" spans="1:9" x14ac:dyDescent="0.2">
      <c r="A15" s="77" t="s">
        <v>103</v>
      </c>
      <c r="B15" s="78">
        <f xml:space="preserve"> 0.85 * 2.95</f>
        <v>2.5075000000000003</v>
      </c>
      <c r="C15" s="78">
        <f xml:space="preserve"> 0.85 * 2.8</f>
        <v>2.38</v>
      </c>
      <c r="D15" s="79"/>
    </row>
    <row r="16" spans="1:9" x14ac:dyDescent="0.2">
      <c r="A16" s="77" t="s">
        <v>104</v>
      </c>
      <c r="B16" s="80">
        <f>SUM(B11:B15)</f>
        <v>17.239999999999998</v>
      </c>
      <c r="C16" s="80">
        <f>SUM(C11:C15)</f>
        <v>15.585000000000001</v>
      </c>
      <c r="D16" s="79"/>
    </row>
    <row r="17" spans="1:9" x14ac:dyDescent="0.2">
      <c r="A17" s="81" t="s">
        <v>105</v>
      </c>
      <c r="B17" s="82"/>
      <c r="C17" s="82"/>
      <c r="D17" s="83"/>
    </row>
    <row r="18" spans="1:9" x14ac:dyDescent="0.2">
      <c r="A18" s="77" t="s">
        <v>106</v>
      </c>
      <c r="B18" s="78">
        <f xml:space="preserve"> 0.95 * 8.301</f>
        <v>7.8859499999999993</v>
      </c>
      <c r="C18" s="78">
        <f xml:space="preserve"> 0.95 * 7.95</f>
        <v>7.5525000000000002</v>
      </c>
      <c r="D18" s="79"/>
    </row>
    <row r="19" spans="1:9" x14ac:dyDescent="0.2">
      <c r="A19" s="77" t="s">
        <v>107</v>
      </c>
      <c r="B19" s="78">
        <f xml:space="preserve"> 2.6 * 7.55</f>
        <v>19.63</v>
      </c>
      <c r="C19" s="78">
        <f xml:space="preserve"> 2.6 * 7.35</f>
        <v>19.11</v>
      </c>
      <c r="D19" s="79"/>
    </row>
    <row r="20" spans="1:9" x14ac:dyDescent="0.2">
      <c r="A20" s="77" t="s">
        <v>108</v>
      </c>
      <c r="B20" s="78">
        <f xml:space="preserve"> 2.85 * 4.551</f>
        <v>12.970350000000002</v>
      </c>
      <c r="C20" s="78">
        <f xml:space="preserve"> 2.9 * 4.55</f>
        <v>13.194999999999999</v>
      </c>
      <c r="D20" s="79"/>
      <c r="E20" s="70"/>
      <c r="F20" s="70"/>
      <c r="G20" s="70"/>
      <c r="H20" s="70"/>
      <c r="I20" s="70"/>
    </row>
    <row r="21" spans="1:9" x14ac:dyDescent="0.2">
      <c r="A21" s="84" t="s">
        <v>104</v>
      </c>
      <c r="B21" s="85">
        <f>B18+B19+B20</f>
        <v>40.4863</v>
      </c>
      <c r="C21" s="85">
        <f>C18+C19+C20</f>
        <v>39.857500000000002</v>
      </c>
      <c r="D21" s="86"/>
      <c r="E21" s="70"/>
      <c r="F21" s="70"/>
      <c r="G21" s="70"/>
      <c r="H21" s="70"/>
      <c r="I21" s="70"/>
    </row>
    <row r="22" spans="1:9" x14ac:dyDescent="0.2">
      <c r="A22" s="74" t="s">
        <v>60</v>
      </c>
      <c r="B22" s="87"/>
      <c r="C22" s="87"/>
      <c r="D22" s="79"/>
      <c r="E22" s="70"/>
      <c r="F22" s="70"/>
      <c r="G22" s="70"/>
      <c r="H22" s="70"/>
      <c r="I22" s="70"/>
    </row>
    <row r="23" spans="1:9" x14ac:dyDescent="0.2">
      <c r="A23" s="77" t="s">
        <v>109</v>
      </c>
      <c r="B23" s="78">
        <f>2.4 * 5.2</f>
        <v>12.48</v>
      </c>
      <c r="C23" s="78">
        <f xml:space="preserve"> 2.4 * 4.45</f>
        <v>10.68</v>
      </c>
      <c r="D23" s="79"/>
      <c r="E23" s="70"/>
      <c r="F23" s="70"/>
      <c r="G23" s="70"/>
      <c r="H23" s="70"/>
      <c r="I23" s="70"/>
    </row>
    <row r="24" spans="1:9" x14ac:dyDescent="0.2">
      <c r="A24" s="77" t="s">
        <v>110</v>
      </c>
      <c r="B24" s="78">
        <f xml:space="preserve"> B23 * 1.15</f>
        <v>14.351999999999999</v>
      </c>
      <c r="C24" s="78">
        <f xml:space="preserve"> C23 * 1.15</f>
        <v>12.281999999999998</v>
      </c>
      <c r="D24" s="79"/>
      <c r="E24" s="70"/>
      <c r="F24" s="70"/>
      <c r="G24" s="70"/>
      <c r="H24" s="70"/>
      <c r="I24" s="70"/>
    </row>
    <row r="25" spans="1:9" x14ac:dyDescent="0.2">
      <c r="A25" s="77" t="s">
        <v>111</v>
      </c>
      <c r="B25" s="78">
        <f xml:space="preserve"> 2.55 * 0.751</f>
        <v>1.9150499999999999</v>
      </c>
      <c r="C25" s="78">
        <f xml:space="preserve"> 2.75 * 0.701</f>
        <v>1.9277499999999999</v>
      </c>
      <c r="D25" s="79"/>
      <c r="E25" s="70"/>
      <c r="F25" s="70"/>
      <c r="G25" s="70"/>
      <c r="H25" s="70"/>
      <c r="I25" s="70"/>
    </row>
    <row r="26" spans="1:9" x14ac:dyDescent="0.2">
      <c r="A26" s="77" t="s">
        <v>104</v>
      </c>
      <c r="B26" s="80">
        <f>B23+B24+B25</f>
        <v>28.747050000000002</v>
      </c>
      <c r="C26" s="80">
        <f>C23+C24+C25</f>
        <v>24.889749999999996</v>
      </c>
      <c r="D26" s="79"/>
      <c r="E26" s="70"/>
      <c r="F26" s="70"/>
      <c r="G26" s="70"/>
      <c r="H26" s="70"/>
      <c r="I26" s="70"/>
    </row>
    <row r="27" spans="1:9" x14ac:dyDescent="0.2">
      <c r="A27" s="81" t="s">
        <v>61</v>
      </c>
      <c r="B27" s="82"/>
      <c r="C27" s="82"/>
      <c r="D27" s="83"/>
      <c r="E27" s="70"/>
      <c r="F27" s="70"/>
      <c r="G27" s="70"/>
      <c r="H27" s="70"/>
      <c r="I27" s="70"/>
    </row>
    <row r="28" spans="1:9" x14ac:dyDescent="0.2">
      <c r="A28" s="77" t="s">
        <v>112</v>
      </c>
      <c r="B28" s="78">
        <f xml:space="preserve"> 1 * 4.55</f>
        <v>4.55</v>
      </c>
      <c r="C28" s="78">
        <f xml:space="preserve"> 1 * 4.8</f>
        <v>4.8</v>
      </c>
      <c r="D28" s="79"/>
      <c r="E28" s="70"/>
      <c r="F28" s="70"/>
      <c r="G28" s="70"/>
      <c r="H28" s="70"/>
      <c r="I28" s="70"/>
    </row>
    <row r="29" spans="1:9" x14ac:dyDescent="0.2">
      <c r="A29" s="84" t="s">
        <v>104</v>
      </c>
      <c r="B29" s="85">
        <f>B28</f>
        <v>4.55</v>
      </c>
      <c r="C29" s="85">
        <f>C28</f>
        <v>4.8</v>
      </c>
      <c r="D29" s="86"/>
      <c r="E29" s="70"/>
      <c r="F29" s="70"/>
      <c r="G29" s="70"/>
      <c r="H29" s="70"/>
      <c r="I29" s="70"/>
    </row>
    <row r="30" spans="1:9" x14ac:dyDescent="0.2">
      <c r="A30" s="74" t="s">
        <v>113</v>
      </c>
      <c r="B30" s="87"/>
      <c r="C30" s="87"/>
      <c r="D30" s="79"/>
      <c r="E30" s="70"/>
      <c r="F30" s="70"/>
      <c r="G30" s="70"/>
      <c r="H30" s="70"/>
      <c r="I30" s="70"/>
    </row>
    <row r="31" spans="1:9" x14ac:dyDescent="0.2">
      <c r="A31" s="77" t="s">
        <v>114</v>
      </c>
      <c r="B31" s="78">
        <f xml:space="preserve"> 1.2 * 1.55</f>
        <v>1.8599999999999999</v>
      </c>
      <c r="C31" s="78">
        <f xml:space="preserve"> 1.2 * 1.5</f>
        <v>1.7999999999999998</v>
      </c>
      <c r="D31" s="79"/>
      <c r="E31" s="70"/>
      <c r="F31" s="70"/>
      <c r="G31" s="70"/>
      <c r="H31" s="70"/>
      <c r="I31" s="70"/>
    </row>
    <row r="32" spans="1:9" x14ac:dyDescent="0.2">
      <c r="A32" s="77" t="s">
        <v>104</v>
      </c>
      <c r="B32" s="80">
        <f>B31</f>
        <v>1.8599999999999999</v>
      </c>
      <c r="C32" s="80">
        <f>C31</f>
        <v>1.7999999999999998</v>
      </c>
      <c r="D32" s="79"/>
      <c r="E32" s="70"/>
      <c r="F32" s="70"/>
      <c r="G32" s="70"/>
      <c r="H32" s="70"/>
      <c r="I32" s="70"/>
    </row>
    <row r="33" spans="1:9" x14ac:dyDescent="0.2">
      <c r="A33" s="88" t="s">
        <v>115</v>
      </c>
      <c r="B33" s="89">
        <f>B26+B16+B21+B29+B32</f>
        <v>92.883349999999993</v>
      </c>
      <c r="C33" s="89">
        <f>C26+C16+C21+C29+C32</f>
        <v>86.932249999999996</v>
      </c>
      <c r="D33" s="90"/>
      <c r="E33" s="70"/>
      <c r="F33" s="70"/>
      <c r="G33" s="70"/>
      <c r="H33" s="70"/>
      <c r="I33" s="70"/>
    </row>
    <row r="34" spans="1:9" x14ac:dyDescent="0.2">
      <c r="A34" s="74" t="s">
        <v>56</v>
      </c>
      <c r="B34" s="87"/>
      <c r="C34" s="87"/>
      <c r="D34" s="79"/>
      <c r="E34" s="70"/>
      <c r="F34" s="70"/>
      <c r="G34" s="70"/>
      <c r="H34" s="70"/>
      <c r="I34" s="70"/>
    </row>
    <row r="35" spans="1:9" x14ac:dyDescent="0.2">
      <c r="A35" s="77" t="s">
        <v>116</v>
      </c>
      <c r="B35" s="78">
        <v>265</v>
      </c>
      <c r="C35" s="80">
        <f xml:space="preserve"> B35</f>
        <v>265</v>
      </c>
      <c r="D35" s="14">
        <f xml:space="preserve"> AVERAGE(B35:C35)</f>
        <v>265</v>
      </c>
      <c r="E35" s="70"/>
      <c r="F35" s="70"/>
      <c r="G35" s="70"/>
      <c r="H35" s="70"/>
      <c r="I35" s="70"/>
    </row>
    <row r="36" spans="1:9" x14ac:dyDescent="0.2">
      <c r="A36" s="77" t="s">
        <v>57</v>
      </c>
      <c r="B36" s="14">
        <f xml:space="preserve"> B$35 * B$16 / B$33</f>
        <v>49.186425769527041</v>
      </c>
      <c r="C36" s="14">
        <f xml:space="preserve"> C$35 * C$16 / C$33</f>
        <v>47.508548323550819</v>
      </c>
      <c r="D36" s="14">
        <f xml:space="preserve"> AVERAGE(B36:C36)</f>
        <v>48.34748704653893</v>
      </c>
      <c r="F36" s="70"/>
      <c r="G36" s="70"/>
      <c r="H36" s="70"/>
      <c r="I36" s="70"/>
    </row>
    <row r="37" spans="1:9" x14ac:dyDescent="0.2">
      <c r="A37" s="77" t="s">
        <v>58</v>
      </c>
      <c r="B37" s="14">
        <f xml:space="preserve"> B$35 * B$21 / B$33</f>
        <v>115.50907132440854</v>
      </c>
      <c r="C37" s="14">
        <f xml:space="preserve"> C$35 * C$21 / C$33</f>
        <v>121.49964483836553</v>
      </c>
      <c r="D37" s="14">
        <f xml:space="preserve"> AVERAGE(B37:C37)</f>
        <v>118.50435808138704</v>
      </c>
      <c r="F37" s="70"/>
      <c r="G37" s="70"/>
      <c r="H37" s="70"/>
      <c r="I37" s="70"/>
    </row>
    <row r="38" spans="1:9" x14ac:dyDescent="0.2">
      <c r="A38" s="77" t="s">
        <v>59</v>
      </c>
      <c r="B38" s="14"/>
      <c r="C38" s="14"/>
      <c r="D38" s="14"/>
      <c r="F38" s="70"/>
      <c r="G38" s="70"/>
      <c r="H38" s="70"/>
      <c r="I38" s="70"/>
    </row>
    <row r="39" spans="1:9" x14ac:dyDescent="0.2">
      <c r="A39" s="77" t="s">
        <v>117</v>
      </c>
      <c r="B39" s="14">
        <f xml:space="preserve"> B$35 * B$26 / B$33</f>
        <v>82.016510494076726</v>
      </c>
      <c r="C39" s="14">
        <f xml:space="preserve"> C$35 * C$26 / C$33</f>
        <v>75.872691089900457</v>
      </c>
      <c r="D39" s="14">
        <f xml:space="preserve"> AVERAGE(B39:C39)</f>
        <v>78.944600791988591</v>
      </c>
      <c r="F39" s="70"/>
      <c r="G39" s="70"/>
      <c r="H39" s="70"/>
      <c r="I39" s="70"/>
    </row>
    <row r="40" spans="1:9" x14ac:dyDescent="0.2">
      <c r="A40" s="77" t="s">
        <v>61</v>
      </c>
      <c r="B40" s="14">
        <f xml:space="preserve"> B$35 * B$29 / B$33</f>
        <v>12.981336267479588</v>
      </c>
      <c r="C40" s="14">
        <f xml:space="preserve"> C$35 * C$29 / C$33</f>
        <v>14.632084180496882</v>
      </c>
      <c r="D40" s="14">
        <f xml:space="preserve"> AVERAGE(B40:C40)</f>
        <v>13.806710223988235</v>
      </c>
      <c r="F40" s="70"/>
      <c r="G40" s="70"/>
      <c r="H40" s="70"/>
      <c r="I40" s="70"/>
    </row>
    <row r="41" spans="1:9" x14ac:dyDescent="0.2">
      <c r="A41" s="77" t="s">
        <v>113</v>
      </c>
      <c r="B41" s="14">
        <f xml:space="preserve"> B$35 * B$32 / B$33</f>
        <v>5.3066561445081382</v>
      </c>
      <c r="C41" s="14">
        <f xml:space="preserve"> C$35 * C$32 / C$33</f>
        <v>5.4870315676863299</v>
      </c>
      <c r="D41" s="14">
        <f xml:space="preserve"> AVERAGE(B41:C41)</f>
        <v>5.3968438560972345</v>
      </c>
      <c r="F41" s="70"/>
      <c r="G41" s="70"/>
      <c r="H41" s="70"/>
      <c r="I41" s="70"/>
    </row>
    <row r="42" spans="1:9" x14ac:dyDescent="0.2">
      <c r="A42" s="91" t="s">
        <v>116</v>
      </c>
      <c r="B42" s="27">
        <f xml:space="preserve"> SUM(B36:B41)</f>
        <v>265</v>
      </c>
      <c r="C42" s="27">
        <f xml:space="preserve"> SUM(C36:C41)</f>
        <v>265</v>
      </c>
      <c r="D42" s="27">
        <f xml:space="preserve"> SUM(D36:D41)</f>
        <v>265.00000000000006</v>
      </c>
      <c r="F42" s="70"/>
      <c r="G42" s="70"/>
      <c r="H42" s="70"/>
      <c r="I42" s="70"/>
    </row>
    <row r="43" spans="1:9" x14ac:dyDescent="0.2">
      <c r="F43" s="70"/>
      <c r="G43" s="70"/>
      <c r="H43" s="70"/>
      <c r="I43" s="70"/>
    </row>
    <row r="44" spans="1:9" ht="12.75" x14ac:dyDescent="0.2">
      <c r="A44" s="65" t="s">
        <v>247</v>
      </c>
    </row>
    <row r="45" spans="1:9" ht="12.75" x14ac:dyDescent="0.2">
      <c r="A45" s="93" t="s">
        <v>119</v>
      </c>
      <c r="B45" s="93" t="s">
        <v>120</v>
      </c>
      <c r="C45" s="93" t="s">
        <v>98</v>
      </c>
      <c r="D45" s="93" t="s">
        <v>98</v>
      </c>
      <c r="E45" s="93" t="s">
        <v>121</v>
      </c>
      <c r="F45" s="93" t="s">
        <v>122</v>
      </c>
      <c r="G45" s="93" t="s">
        <v>123</v>
      </c>
      <c r="H45" s="212" t="s">
        <v>124</v>
      </c>
    </row>
    <row r="46" spans="1:9" ht="12.75" x14ac:dyDescent="0.2">
      <c r="A46" s="94" t="s">
        <v>125</v>
      </c>
      <c r="B46" s="94" t="s">
        <v>126</v>
      </c>
      <c r="C46" s="94" t="s">
        <v>127</v>
      </c>
      <c r="D46" s="94" t="s">
        <v>128</v>
      </c>
      <c r="E46" s="94" t="s">
        <v>129</v>
      </c>
      <c r="F46" s="94" t="s">
        <v>129</v>
      </c>
      <c r="G46" s="94" t="s">
        <v>129</v>
      </c>
      <c r="H46" s="213" t="s">
        <v>133</v>
      </c>
    </row>
    <row r="47" spans="1:9" ht="15" x14ac:dyDescent="0.2">
      <c r="A47" s="95"/>
      <c r="B47" s="95"/>
      <c r="C47" s="96"/>
      <c r="D47" s="95"/>
      <c r="E47" s="96" t="s">
        <v>56</v>
      </c>
      <c r="F47" s="96" t="s">
        <v>56</v>
      </c>
      <c r="G47" s="96" t="s">
        <v>56</v>
      </c>
      <c r="H47" s="214"/>
    </row>
    <row r="48" spans="1:9" ht="15.95" customHeight="1" x14ac:dyDescent="0.2">
      <c r="A48" s="97" t="s">
        <v>130</v>
      </c>
      <c r="B48" s="97"/>
      <c r="C48" s="97" t="s">
        <v>18</v>
      </c>
      <c r="D48" s="97" t="s">
        <v>131</v>
      </c>
      <c r="E48" s="97" t="s">
        <v>132</v>
      </c>
      <c r="F48" s="97" t="s">
        <v>132</v>
      </c>
      <c r="G48" s="97" t="s">
        <v>132</v>
      </c>
      <c r="H48" s="97">
        <v>1</v>
      </c>
    </row>
    <row r="49" spans="1:8" ht="18" customHeight="1" thickBot="1" x14ac:dyDescent="0.25">
      <c r="A49" s="93" t="s">
        <v>120</v>
      </c>
      <c r="B49" s="93"/>
      <c r="C49" s="98"/>
      <c r="D49" s="98"/>
      <c r="E49" s="93"/>
      <c r="F49" s="93"/>
      <c r="G49" s="98"/>
      <c r="H49" s="98"/>
    </row>
    <row r="50" spans="1:8" ht="15.95" customHeight="1" x14ac:dyDescent="0.2">
      <c r="A50" s="99" t="s">
        <v>57</v>
      </c>
      <c r="B50" s="100" t="s">
        <v>134</v>
      </c>
      <c r="C50" s="101">
        <v>244</v>
      </c>
      <c r="D50" s="102">
        <f xml:space="preserve"> (TS - C50) / lapseRate0</f>
        <v>6.7692307692307692</v>
      </c>
      <c r="E50" s="102">
        <f>D36</f>
        <v>48.34748704653893</v>
      </c>
      <c r="F50" s="102">
        <f>E50</f>
        <v>48.34748704653893</v>
      </c>
      <c r="G50" s="103">
        <f t="shared" ref="G50:G55" si="0" xml:space="preserve">  E50 * (1 - cloudFraction) + F50 * cloudFraction</f>
        <v>48.34748704653893</v>
      </c>
      <c r="H50" s="215"/>
    </row>
    <row r="51" spans="1:8" ht="15.95" customHeight="1" x14ac:dyDescent="0.2">
      <c r="A51" s="104" t="s">
        <v>58</v>
      </c>
      <c r="B51" s="105" t="s">
        <v>135</v>
      </c>
      <c r="C51" s="106">
        <f xml:space="preserve"> TS</f>
        <v>288</v>
      </c>
      <c r="D51" s="107">
        <v>0</v>
      </c>
      <c r="E51" s="106">
        <f>D37</f>
        <v>118.50435808138704</v>
      </c>
      <c r="F51" s="108">
        <v>0</v>
      </c>
      <c r="G51" s="109">
        <f t="shared" si="0"/>
        <v>45.031656070927077</v>
      </c>
      <c r="H51" s="123">
        <f xml:space="preserve"> G51 / (0.96 * sigma * C51^4)</f>
        <v>0.12025237867444012</v>
      </c>
    </row>
    <row r="52" spans="1:8" ht="15.95" customHeight="1" x14ac:dyDescent="0.2">
      <c r="A52" s="104" t="s">
        <v>59</v>
      </c>
      <c r="B52" s="105" t="s">
        <v>136</v>
      </c>
      <c r="C52" s="106">
        <f xml:space="preserve"> TS - D52 * lapseRate0</f>
        <v>266.55</v>
      </c>
      <c r="D52" s="107">
        <v>3.3</v>
      </c>
      <c r="E52" s="108">
        <v>0</v>
      </c>
      <c r="F52" s="106">
        <f xml:space="preserve"> F56 - (F50+F53+F54+F55)</f>
        <v>76.568874210419295</v>
      </c>
      <c r="G52" s="109">
        <f t="shared" si="0"/>
        <v>47.472702010459962</v>
      </c>
      <c r="H52" s="123">
        <f xml:space="preserve"> G52 / (sigma * C52^4)</f>
        <v>0.16586171241722014</v>
      </c>
    </row>
    <row r="53" spans="1:8" ht="15.95" customHeight="1" x14ac:dyDescent="0.2">
      <c r="A53" s="104" t="s">
        <v>60</v>
      </c>
      <c r="B53" s="105" t="s">
        <v>137</v>
      </c>
      <c r="C53" s="107">
        <v>236</v>
      </c>
      <c r="D53" s="106">
        <f xml:space="preserve"> (TS - C53) / lapseRate0</f>
        <v>8</v>
      </c>
      <c r="E53" s="106">
        <f>D39</f>
        <v>78.944600791988591</v>
      </c>
      <c r="F53" s="106">
        <f>E53</f>
        <v>78.944600791988591</v>
      </c>
      <c r="G53" s="109">
        <f t="shared" si="0"/>
        <v>78.944600791988591</v>
      </c>
      <c r="H53" s="123">
        <f xml:space="preserve"> G53 / (sigma * C53^4)</f>
        <v>0.44883980204826757</v>
      </c>
    </row>
    <row r="54" spans="1:8" ht="15.95" customHeight="1" x14ac:dyDescent="0.2">
      <c r="A54" s="104" t="s">
        <v>61</v>
      </c>
      <c r="B54" s="105" t="s">
        <v>138</v>
      </c>
      <c r="C54" s="111"/>
      <c r="D54" s="111" t="s">
        <v>139</v>
      </c>
      <c r="E54" s="106">
        <f>D40</f>
        <v>13.806710223988235</v>
      </c>
      <c r="F54" s="106">
        <f>E54</f>
        <v>13.806710223988235</v>
      </c>
      <c r="G54" s="109">
        <f t="shared" si="0"/>
        <v>13.806710223988235</v>
      </c>
      <c r="H54" s="123"/>
    </row>
    <row r="55" spans="1:8" ht="15.95" customHeight="1" thickBot="1" x14ac:dyDescent="0.25">
      <c r="A55" s="112" t="s">
        <v>62</v>
      </c>
      <c r="B55" s="113" t="s">
        <v>140</v>
      </c>
      <c r="C55" s="114">
        <v>268</v>
      </c>
      <c r="D55" s="115">
        <f xml:space="preserve"> (TS - C55) / lapseRate0</f>
        <v>3.0769230769230771</v>
      </c>
      <c r="E55" s="115">
        <f>D41</f>
        <v>5.3968438560972345</v>
      </c>
      <c r="F55" s="115">
        <f>E55</f>
        <v>5.3968438560972345</v>
      </c>
      <c r="G55" s="116">
        <f t="shared" si="0"/>
        <v>5.3968438560972345</v>
      </c>
      <c r="H55" s="123">
        <f xml:space="preserve"> G55 / (sigma * C55^4)</f>
        <v>1.8450902674903107E-2</v>
      </c>
    </row>
    <row r="56" spans="1:8" ht="15.95" customHeight="1" x14ac:dyDescent="0.2">
      <c r="A56" s="99" t="s">
        <v>141</v>
      </c>
      <c r="B56" s="100"/>
      <c r="C56" s="102">
        <f xml:space="preserve"> (G56 / (sigma * epsilon))^0.25</f>
        <v>255.12201731583556</v>
      </c>
      <c r="D56" s="102">
        <v>4.8</v>
      </c>
      <c r="E56" s="102">
        <f xml:space="preserve"> D35</f>
        <v>265</v>
      </c>
      <c r="F56" s="103">
        <f xml:space="preserve"> (G56 - E56 * (1 - cloudFraction)) / cloudFraction</f>
        <v>223.06451612903228</v>
      </c>
      <c r="G56" s="101">
        <v>239</v>
      </c>
      <c r="H56" s="215">
        <f xml:space="preserve"> SUM(H50:H55)</f>
        <v>0.75340479581483089</v>
      </c>
    </row>
    <row r="57" spans="1:8" x14ac:dyDescent="0.2">
      <c r="G57" s="106">
        <f xml:space="preserve"> SUM(G50:G55)</f>
        <v>239.00000000000003</v>
      </c>
    </row>
    <row r="58" spans="1:8" ht="15" customHeight="1" x14ac:dyDescent="0.2">
      <c r="A58" s="65" t="s">
        <v>228</v>
      </c>
    </row>
    <row r="59" spans="1:8" ht="48" customHeight="1" x14ac:dyDescent="0.2">
      <c r="A59" s="73"/>
      <c r="B59" s="73" t="s">
        <v>142</v>
      </c>
      <c r="C59" s="73" t="s">
        <v>236</v>
      </c>
      <c r="D59" s="73" t="s">
        <v>248</v>
      </c>
      <c r="E59" s="73" t="s">
        <v>249</v>
      </c>
    </row>
    <row r="60" spans="1:8" ht="15" customHeight="1" x14ac:dyDescent="0.2">
      <c r="A60" s="74" t="s">
        <v>57</v>
      </c>
      <c r="B60" s="75"/>
      <c r="C60" s="75"/>
      <c r="D60" s="75"/>
      <c r="E60" s="75"/>
    </row>
    <row r="61" spans="1:8" x14ac:dyDescent="0.2">
      <c r="A61" s="77" t="s">
        <v>143</v>
      </c>
      <c r="B61" s="78">
        <f xml:space="preserve"> 3.3 * 2.95</f>
        <v>9.7349999999999994</v>
      </c>
      <c r="C61" s="78">
        <f>B61</f>
        <v>9.7349999999999994</v>
      </c>
      <c r="D61" s="78">
        <f>B61</f>
        <v>9.7349999999999994</v>
      </c>
      <c r="E61" s="78">
        <f>C61</f>
        <v>9.7349999999999994</v>
      </c>
    </row>
    <row r="62" spans="1:8" x14ac:dyDescent="0.2">
      <c r="A62" s="77" t="s">
        <v>144</v>
      </c>
      <c r="B62" s="78">
        <f xml:space="preserve"> 0.5 * (5.6 - 4.3) * (10.4 - 4.85)</f>
        <v>3.6074999999999999</v>
      </c>
      <c r="C62" s="78">
        <f xml:space="preserve"> B62 + 1.25 * 0.65</f>
        <v>4.42</v>
      </c>
      <c r="D62" s="78">
        <f xml:space="preserve"> 0.5 * (5.5 - 4.3) * (10.4 - 4.85)</f>
        <v>3.330000000000001</v>
      </c>
      <c r="E62" s="78">
        <f xml:space="preserve"> D62 + 0.5 * (0.5 * (5.6 - 5.5)) * (0.5 * (10.4 - 4.85))</f>
        <v>3.3993750000000009</v>
      </c>
    </row>
    <row r="63" spans="1:8" x14ac:dyDescent="0.2">
      <c r="A63" s="77" t="s">
        <v>145</v>
      </c>
      <c r="B63" s="78">
        <f xml:space="preserve"> 0.5 * (7.6 - 6.45) * (10.4 - 4.846)</f>
        <v>3.1935499999999988</v>
      </c>
      <c r="C63" s="78">
        <f xml:space="preserve"> B63 + 1.15 * 0.65</f>
        <v>3.9410499999999988</v>
      </c>
      <c r="D63" s="78">
        <f xml:space="preserve"> 0.5 * (7.6 - 6.55) * (10.4 - 4.85)</f>
        <v>2.9137499999999998</v>
      </c>
      <c r="E63" s="78">
        <f>D63 + 0.5 * (0.5 *  (6.55 - 6.45)) * (0.5 * (10.4 - 4.85))</f>
        <v>2.9831249999999998</v>
      </c>
    </row>
    <row r="64" spans="1:8" x14ac:dyDescent="0.2">
      <c r="A64" s="91" t="s">
        <v>104</v>
      </c>
      <c r="B64" s="89">
        <f>B61+B62+B63</f>
        <v>16.536049999999999</v>
      </c>
      <c r="C64" s="89">
        <f>C61+C62+C63</f>
        <v>18.096049999999998</v>
      </c>
      <c r="D64" s="89">
        <f>D61+D62+D63</f>
        <v>15.978750000000002</v>
      </c>
      <c r="E64" s="89">
        <f>E61+E62+E63</f>
        <v>16.1175</v>
      </c>
    </row>
    <row r="65" spans="1:6" x14ac:dyDescent="0.2">
      <c r="A65" s="70"/>
      <c r="B65" s="117" t="s">
        <v>193</v>
      </c>
      <c r="C65" s="24">
        <f xml:space="preserve"> (C64 - $B$64) / $B$64</f>
        <v>9.4339337387102651E-2</v>
      </c>
      <c r="D65" s="24">
        <f xml:space="preserve"> (D64 - $B$64) / $B$64</f>
        <v>-3.3702123542200098E-2</v>
      </c>
      <c r="E65" s="24">
        <f xml:space="preserve"> (E64 - $B$64) / $B$64</f>
        <v>-2.5311365168828093E-2</v>
      </c>
    </row>
    <row r="66" spans="1:6" x14ac:dyDescent="0.2">
      <c r="A66" s="70"/>
      <c r="B66" s="117" t="s">
        <v>19</v>
      </c>
      <c r="C66" s="89">
        <f xml:space="preserve"> C65 * $G$50</f>
        <v>4.5610698923020117</v>
      </c>
      <c r="D66" s="89">
        <f xml:space="preserve"> D65 * $G$50</f>
        <v>-1.6294129813973739</v>
      </c>
      <c r="E66" s="89">
        <f xml:space="preserve"> E65 * $G$50</f>
        <v>-1.2237408996301329</v>
      </c>
    </row>
    <row r="68" spans="1:6" ht="12.75" x14ac:dyDescent="0.2">
      <c r="A68" s="65" t="s">
        <v>227</v>
      </c>
    </row>
    <row r="69" spans="1:6" ht="15" x14ac:dyDescent="0.2">
      <c r="A69" s="54" t="s">
        <v>146</v>
      </c>
      <c r="B69" s="55"/>
      <c r="C69" s="24">
        <f xml:space="preserve"> C65 * R_C / 10</f>
        <v>0.45610698923020115</v>
      </c>
      <c r="D69" s="5" t="s">
        <v>22</v>
      </c>
    </row>
    <row r="70" spans="1:6" ht="15" x14ac:dyDescent="0.2">
      <c r="A70" s="54" t="s">
        <v>251</v>
      </c>
      <c r="B70" s="55"/>
      <c r="C70" s="24">
        <f xml:space="preserve"> D65 * R_C / 10</f>
        <v>-0.1629412981397374</v>
      </c>
      <c r="D70" s="5" t="s">
        <v>147</v>
      </c>
    </row>
    <row r="71" spans="1:6" ht="15" x14ac:dyDescent="0.2">
      <c r="A71" s="54" t="s">
        <v>250</v>
      </c>
      <c r="B71" s="55"/>
      <c r="C71" s="24">
        <f xml:space="preserve"> E65 * R_C / 10</f>
        <v>-0.12237408996301329</v>
      </c>
      <c r="D71" s="5" t="s">
        <v>147</v>
      </c>
    </row>
    <row r="73" spans="1:6" ht="12.75" x14ac:dyDescent="0.2">
      <c r="A73" s="65" t="s">
        <v>246</v>
      </c>
    </row>
    <row r="74" spans="1:6" ht="12.75" x14ac:dyDescent="0.2">
      <c r="A74" s="118" t="s">
        <v>119</v>
      </c>
      <c r="B74" s="118" t="s">
        <v>238</v>
      </c>
      <c r="C74" s="225"/>
      <c r="D74" s="225"/>
      <c r="E74" s="225"/>
      <c r="F74" s="226" t="s">
        <v>148</v>
      </c>
    </row>
    <row r="75" spans="1:6" ht="23.25" customHeight="1" x14ac:dyDescent="0.2">
      <c r="A75" s="119" t="s">
        <v>125</v>
      </c>
      <c r="B75" s="119"/>
      <c r="C75" s="225"/>
      <c r="D75" s="225"/>
      <c r="E75" s="225"/>
      <c r="F75" s="226"/>
    </row>
    <row r="76" spans="1:6" ht="15.95" customHeight="1" x14ac:dyDescent="0.2">
      <c r="A76" s="120" t="s">
        <v>130</v>
      </c>
      <c r="B76" s="120"/>
      <c r="C76" s="120" t="s">
        <v>149</v>
      </c>
      <c r="D76" s="120" t="s">
        <v>150</v>
      </c>
      <c r="E76" s="158" t="s">
        <v>150</v>
      </c>
      <c r="F76" s="120" t="s">
        <v>151</v>
      </c>
    </row>
    <row r="77" spans="1:6" ht="33.75" customHeight="1" x14ac:dyDescent="0.2">
      <c r="A77" s="120" t="s">
        <v>152</v>
      </c>
      <c r="B77" s="120"/>
      <c r="C77" s="121"/>
      <c r="D77" s="121"/>
      <c r="E77" s="157"/>
      <c r="F77" s="121"/>
    </row>
    <row r="78" spans="1:6" ht="16.5" customHeight="1" x14ac:dyDescent="0.2">
      <c r="A78" s="120" t="s">
        <v>120</v>
      </c>
      <c r="B78" s="120"/>
      <c r="C78" s="121"/>
      <c r="D78" s="121"/>
      <c r="E78" s="157"/>
      <c r="F78" s="121"/>
    </row>
    <row r="79" spans="1:6" ht="15.95" customHeight="1" x14ac:dyDescent="0.2">
      <c r="A79" s="104" t="s">
        <v>153</v>
      </c>
      <c r="B79" s="104" t="s">
        <v>135</v>
      </c>
      <c r="C79" s="110">
        <f xml:space="preserve"> 4 * G51 / C51</f>
        <v>0.62543966765176495</v>
      </c>
      <c r="D79" s="122">
        <v>0</v>
      </c>
      <c r="E79" s="122">
        <v>0</v>
      </c>
      <c r="F79" s="122">
        <v>0</v>
      </c>
    </row>
    <row r="80" spans="1:6" ht="15.95" customHeight="1" x14ac:dyDescent="0.2">
      <c r="A80" s="104" t="s">
        <v>59</v>
      </c>
      <c r="B80" s="104" t="s">
        <v>136</v>
      </c>
      <c r="C80" s="110">
        <f xml:space="preserve"> 4 * G52 / C52</f>
        <v>0.71240220612207783</v>
      </c>
      <c r="D80" s="123">
        <f xml:space="preserve"> -C80 * D52</f>
        <v>-2.3509272802028569</v>
      </c>
      <c r="E80" s="123">
        <f xml:space="preserve"> -C80 * MIN(5, D52)</f>
        <v>-2.3509272802028569</v>
      </c>
      <c r="F80" s="123">
        <f xml:space="preserve"> -C80 * lapseRate0</f>
        <v>-4.6306143397935058</v>
      </c>
    </row>
    <row r="81" spans="1:6" ht="15.95" customHeight="1" x14ac:dyDescent="0.2">
      <c r="A81" s="104" t="s">
        <v>60</v>
      </c>
      <c r="B81" s="104" t="s">
        <v>137</v>
      </c>
      <c r="C81" s="110">
        <f xml:space="preserve"> 4 * G53 / C53</f>
        <v>1.3380440812201455</v>
      </c>
      <c r="D81" s="123">
        <f xml:space="preserve"> -C81 * D53</f>
        <v>-10.704352649761164</v>
      </c>
      <c r="E81" s="123">
        <f xml:space="preserve"> -C81 * MIN(5, D53)</f>
        <v>-6.6902204061007273</v>
      </c>
      <c r="F81" s="123">
        <f xml:space="preserve"> -C81 * C4</f>
        <v>-8.6972865279309453</v>
      </c>
    </row>
    <row r="82" spans="1:6" ht="15.95" customHeight="1" x14ac:dyDescent="0.2">
      <c r="A82" s="104" t="s">
        <v>62</v>
      </c>
      <c r="B82" s="104" t="s">
        <v>140</v>
      </c>
      <c r="C82" s="110">
        <f xml:space="preserve"> 4 * G55 / C55</f>
        <v>8.0549908299958728E-2</v>
      </c>
      <c r="D82" s="123">
        <f xml:space="preserve"> -C82 * D55</f>
        <v>-0.24784587169218072</v>
      </c>
      <c r="E82" s="123">
        <f xml:space="preserve"> -C82 * MIN(5, D55)</f>
        <v>-0.24784587169218072</v>
      </c>
      <c r="F82" s="123">
        <f xml:space="preserve"> -C82 * lapseRate0</f>
        <v>-0.52357440394973176</v>
      </c>
    </row>
    <row r="84" spans="1:6" ht="12.75" x14ac:dyDescent="0.2">
      <c r="A84" s="65" t="s">
        <v>154</v>
      </c>
    </row>
    <row r="85" spans="1:6" ht="15" x14ac:dyDescent="0.2">
      <c r="A85" s="54" t="s">
        <v>155</v>
      </c>
      <c r="B85" s="55"/>
      <c r="C85" s="89">
        <f xml:space="preserve"> RU_overcast - RS_clearsky</f>
        <v>-41.935483870967744</v>
      </c>
      <c r="D85" s="5" t="s">
        <v>156</v>
      </c>
    </row>
    <row r="87" spans="1:6" ht="12.75" x14ac:dyDescent="0.2">
      <c r="A87" s="65" t="s">
        <v>157</v>
      </c>
    </row>
    <row r="88" spans="1:6" ht="15" x14ac:dyDescent="0.2">
      <c r="A88" s="54" t="s">
        <v>158</v>
      </c>
      <c r="B88" s="55"/>
      <c r="C88" s="89">
        <f xml:space="preserve"> tauC + tauS + tauU + tauW + tauM</f>
        <v>3.2125428525241482</v>
      </c>
      <c r="D88" s="5" t="s">
        <v>22</v>
      </c>
    </row>
    <row r="89" spans="1:6" ht="13.5" x14ac:dyDescent="0.2">
      <c r="A89" s="54" t="s">
        <v>252</v>
      </c>
      <c r="B89" s="55"/>
      <c r="C89" s="89">
        <f xml:space="preserve"> gCUniform + gUUniform + gWUniform + gMUniform</f>
        <v>-13.466067099795939</v>
      </c>
      <c r="D89" s="5" t="s">
        <v>147</v>
      </c>
    </row>
    <row r="90" spans="1:6" ht="13.5" x14ac:dyDescent="0.2">
      <c r="A90" s="54" t="s">
        <v>253</v>
      </c>
      <c r="B90" s="55"/>
      <c r="C90" s="89">
        <f xml:space="preserve"> gCPartial + gUPartial + gWPartial + gMPartial</f>
        <v>-9.4113676479587784</v>
      </c>
      <c r="D90" s="5" t="s">
        <v>147</v>
      </c>
    </row>
    <row r="91" spans="1:6" x14ac:dyDescent="0.2">
      <c r="A91" s="54" t="s">
        <v>237</v>
      </c>
      <c r="B91" s="55"/>
      <c r="C91" s="71">
        <f xml:space="preserve"> gUniform</f>
        <v>-13.466067099795939</v>
      </c>
      <c r="D91" s="5" t="s">
        <v>147</v>
      </c>
    </row>
    <row r="240" spans="4:4" x14ac:dyDescent="0.2">
      <c r="D240" s="137"/>
    </row>
  </sheetData>
  <mergeCells count="4">
    <mergeCell ref="C74:C75"/>
    <mergeCell ref="D74:D75"/>
    <mergeCell ref="F74:F75"/>
    <mergeCell ref="E74:E75"/>
  </mergeCells>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Equation.DSMT4" shapeId="2059" r:id="rId4">
          <objectPr defaultSize="0" autoPict="0" r:id="rId5">
            <anchor moveWithCells="1" sizeWithCells="1">
              <from>
                <xdr:col>2</xdr:col>
                <xdr:colOff>333375</xdr:colOff>
                <xdr:row>77</xdr:row>
                <xdr:rowOff>0</xdr:rowOff>
              </from>
              <to>
                <xdr:col>2</xdr:col>
                <xdr:colOff>457200</xdr:colOff>
                <xdr:row>78</xdr:row>
                <xdr:rowOff>0</xdr:rowOff>
              </to>
            </anchor>
          </objectPr>
        </oleObject>
      </mc:Choice>
      <mc:Fallback>
        <oleObject progId="Equation.DSMT4" shapeId="2059" r:id="rId4"/>
      </mc:Fallback>
    </mc:AlternateContent>
    <mc:AlternateContent xmlns:mc="http://schemas.openxmlformats.org/markup-compatibility/2006">
      <mc:Choice Requires="x14">
        <oleObject progId="Equation.DSMT4" shapeId="2108" r:id="rId6">
          <objectPr defaultSize="0" autoPict="0" r:id="rId7">
            <anchor moveWithCells="1">
              <from>
                <xdr:col>2</xdr:col>
                <xdr:colOff>276225</xdr:colOff>
                <xdr:row>73</xdr:row>
                <xdr:rowOff>19050</xdr:rowOff>
              </from>
              <to>
                <xdr:col>2</xdr:col>
                <xdr:colOff>561975</xdr:colOff>
                <xdr:row>75</xdr:row>
                <xdr:rowOff>0</xdr:rowOff>
              </to>
            </anchor>
          </objectPr>
        </oleObject>
      </mc:Choice>
      <mc:Fallback>
        <oleObject progId="Equation.DSMT4" shapeId="2108" r:id="rId6"/>
      </mc:Fallback>
    </mc:AlternateContent>
    <mc:AlternateContent xmlns:mc="http://schemas.openxmlformats.org/markup-compatibility/2006">
      <mc:Choice Requires="x14">
        <oleObject progId="Equation.DSMT4" shapeId="2110" r:id="rId8">
          <objectPr defaultSize="0" autoPict="0" r:id="rId9">
            <anchor moveWithCells="1">
              <from>
                <xdr:col>5</xdr:col>
                <xdr:colOff>257175</xdr:colOff>
                <xdr:row>73</xdr:row>
                <xdr:rowOff>0</xdr:rowOff>
              </from>
              <to>
                <xdr:col>5</xdr:col>
                <xdr:colOff>533400</xdr:colOff>
                <xdr:row>75</xdr:row>
                <xdr:rowOff>0</xdr:rowOff>
              </to>
            </anchor>
          </objectPr>
        </oleObject>
      </mc:Choice>
      <mc:Fallback>
        <oleObject progId="Equation.DSMT4" shapeId="2110" r:id="rId8"/>
      </mc:Fallback>
    </mc:AlternateContent>
    <mc:AlternateContent xmlns:mc="http://schemas.openxmlformats.org/markup-compatibility/2006">
      <mc:Choice Requires="x14">
        <oleObject progId="Equation.DSMT4" shapeId="2111" r:id="rId10">
          <objectPr defaultSize="0" autoPict="0" r:id="rId11">
            <anchor moveWithCells="1">
              <from>
                <xdr:col>2</xdr:col>
                <xdr:colOff>266700</xdr:colOff>
                <xdr:row>76</xdr:row>
                <xdr:rowOff>9525</xdr:rowOff>
              </from>
              <to>
                <xdr:col>2</xdr:col>
                <xdr:colOff>552450</xdr:colOff>
                <xdr:row>77</xdr:row>
                <xdr:rowOff>19050</xdr:rowOff>
              </to>
            </anchor>
          </objectPr>
        </oleObject>
      </mc:Choice>
      <mc:Fallback>
        <oleObject progId="Equation.DSMT4" shapeId="2111" r:id="rId10"/>
      </mc:Fallback>
    </mc:AlternateContent>
    <mc:AlternateContent xmlns:mc="http://schemas.openxmlformats.org/markup-compatibility/2006">
      <mc:Choice Requires="x14">
        <oleObject progId="Equation.DSMT4" shapeId="2112" r:id="rId12">
          <objectPr defaultSize="0" autoPict="0" r:id="rId13">
            <anchor moveWithCells="1">
              <from>
                <xdr:col>3</xdr:col>
                <xdr:colOff>200025</xdr:colOff>
                <xdr:row>76</xdr:row>
                <xdr:rowOff>0</xdr:rowOff>
              </from>
              <to>
                <xdr:col>3</xdr:col>
                <xdr:colOff>723900</xdr:colOff>
                <xdr:row>77</xdr:row>
                <xdr:rowOff>19050</xdr:rowOff>
              </to>
            </anchor>
          </objectPr>
        </oleObject>
      </mc:Choice>
      <mc:Fallback>
        <oleObject progId="Equation.DSMT4" shapeId="2112" r:id="rId12"/>
      </mc:Fallback>
    </mc:AlternateContent>
    <mc:AlternateContent xmlns:mc="http://schemas.openxmlformats.org/markup-compatibility/2006">
      <mc:Choice Requires="x14">
        <oleObject progId="Equation.DSMT4" shapeId="2113" r:id="rId14">
          <objectPr defaultSize="0" autoPict="0" r:id="rId15">
            <anchor moveWithCells="1">
              <from>
                <xdr:col>5</xdr:col>
                <xdr:colOff>123825</xdr:colOff>
                <xdr:row>76</xdr:row>
                <xdr:rowOff>9525</xdr:rowOff>
              </from>
              <to>
                <xdr:col>5</xdr:col>
                <xdr:colOff>628650</xdr:colOff>
                <xdr:row>77</xdr:row>
                <xdr:rowOff>19050</xdr:rowOff>
              </to>
            </anchor>
          </objectPr>
        </oleObject>
      </mc:Choice>
      <mc:Fallback>
        <oleObject progId="Equation.DSMT4" shapeId="2113" r:id="rId14"/>
      </mc:Fallback>
    </mc:AlternateContent>
    <mc:AlternateContent xmlns:mc="http://schemas.openxmlformats.org/markup-compatibility/2006">
      <mc:Choice Requires="x14">
        <oleObject progId="Equation.DSMT4" shapeId="2114" r:id="rId16">
          <objectPr defaultSize="0" autoPict="0" r:id="rId17">
            <anchor moveWithCells="1">
              <from>
                <xdr:col>3</xdr:col>
                <xdr:colOff>295275</xdr:colOff>
                <xdr:row>76</xdr:row>
                <xdr:rowOff>409575</xdr:rowOff>
              </from>
              <to>
                <xdr:col>3</xdr:col>
                <xdr:colOff>781050</xdr:colOff>
                <xdr:row>78</xdr:row>
                <xdr:rowOff>19050</xdr:rowOff>
              </to>
            </anchor>
          </objectPr>
        </oleObject>
      </mc:Choice>
      <mc:Fallback>
        <oleObject progId="Equation.DSMT4" shapeId="2114" r:id="rId16"/>
      </mc:Fallback>
    </mc:AlternateContent>
    <mc:AlternateContent xmlns:mc="http://schemas.openxmlformats.org/markup-compatibility/2006">
      <mc:Choice Requires="x14">
        <oleObject progId="Equation.DSMT4" shapeId="2116" r:id="rId18">
          <objectPr defaultSize="0" autoPict="0" r:id="rId19">
            <anchor moveWithCells="1">
              <from>
                <xdr:col>5</xdr:col>
                <xdr:colOff>304800</xdr:colOff>
                <xdr:row>77</xdr:row>
                <xdr:rowOff>0</xdr:rowOff>
              </from>
              <to>
                <xdr:col>5</xdr:col>
                <xdr:colOff>457200</xdr:colOff>
                <xdr:row>78</xdr:row>
                <xdr:rowOff>19050</xdr:rowOff>
              </to>
            </anchor>
          </objectPr>
        </oleObject>
      </mc:Choice>
      <mc:Fallback>
        <oleObject progId="Equation.DSMT4" shapeId="2116" r:id="rId18"/>
      </mc:Fallback>
    </mc:AlternateContent>
    <mc:AlternateContent xmlns:mc="http://schemas.openxmlformats.org/markup-compatibility/2006">
      <mc:Choice Requires="x14">
        <oleObject progId="Equation.DSMT4" shapeId="2123" r:id="rId20">
          <objectPr defaultSize="0" autoPict="0" r:id="rId21">
            <anchor moveWithCells="1">
              <from>
                <xdr:col>4</xdr:col>
                <xdr:colOff>247650</xdr:colOff>
                <xdr:row>76</xdr:row>
                <xdr:rowOff>409575</xdr:rowOff>
              </from>
              <to>
                <xdr:col>4</xdr:col>
                <xdr:colOff>676275</xdr:colOff>
                <xdr:row>78</xdr:row>
                <xdr:rowOff>19050</xdr:rowOff>
              </to>
            </anchor>
          </objectPr>
        </oleObject>
      </mc:Choice>
      <mc:Fallback>
        <oleObject progId="Equation.DSMT4" shapeId="2123" r:id="rId20"/>
      </mc:Fallback>
    </mc:AlternateContent>
    <mc:AlternateContent xmlns:mc="http://schemas.openxmlformats.org/markup-compatibility/2006">
      <mc:Choice Requires="x14">
        <oleObject progId="Equation.DSMT4" shapeId="2124" r:id="rId22">
          <objectPr defaultSize="0" autoPict="0" r:id="rId23">
            <anchor moveWithCells="1">
              <from>
                <xdr:col>3</xdr:col>
                <xdr:colOff>247650</xdr:colOff>
                <xdr:row>73</xdr:row>
                <xdr:rowOff>9525</xdr:rowOff>
              </from>
              <to>
                <xdr:col>3</xdr:col>
                <xdr:colOff>828675</xdr:colOff>
                <xdr:row>74</xdr:row>
                <xdr:rowOff>285750</xdr:rowOff>
              </to>
            </anchor>
          </objectPr>
        </oleObject>
      </mc:Choice>
      <mc:Fallback>
        <oleObject progId="Equation.DSMT4" shapeId="2124" r:id="rId22"/>
      </mc:Fallback>
    </mc:AlternateContent>
    <mc:AlternateContent xmlns:mc="http://schemas.openxmlformats.org/markup-compatibility/2006">
      <mc:Choice Requires="x14">
        <oleObject progId="Equation.DSMT4" shapeId="2125" r:id="rId24">
          <objectPr defaultSize="0" autoPict="0" r:id="rId25">
            <anchor moveWithCells="1">
              <from>
                <xdr:col>4</xdr:col>
                <xdr:colOff>276225</xdr:colOff>
                <xdr:row>72</xdr:row>
                <xdr:rowOff>152400</xdr:rowOff>
              </from>
              <to>
                <xdr:col>4</xdr:col>
                <xdr:colOff>828675</xdr:colOff>
                <xdr:row>75</xdr:row>
                <xdr:rowOff>9525</xdr:rowOff>
              </to>
            </anchor>
          </objectPr>
        </oleObject>
      </mc:Choice>
      <mc:Fallback>
        <oleObject progId="Equation.DSMT4" shapeId="2125" r:id="rId24"/>
      </mc:Fallback>
    </mc:AlternateContent>
    <mc:AlternateContent xmlns:mc="http://schemas.openxmlformats.org/markup-compatibility/2006">
      <mc:Choice Requires="x14">
        <oleObject progId="Equation.DSMT4" shapeId="2130" r:id="rId26">
          <objectPr defaultSize="0" autoPict="0" r:id="rId27">
            <anchor moveWithCells="1">
              <from>
                <xdr:col>3</xdr:col>
                <xdr:colOff>962025</xdr:colOff>
                <xdr:row>76</xdr:row>
                <xdr:rowOff>9525</xdr:rowOff>
              </from>
              <to>
                <xdr:col>4</xdr:col>
                <xdr:colOff>990600</xdr:colOff>
                <xdr:row>77</xdr:row>
                <xdr:rowOff>19050</xdr:rowOff>
              </to>
            </anchor>
          </objectPr>
        </oleObject>
      </mc:Choice>
      <mc:Fallback>
        <oleObject progId="Equation.DSMT4" shapeId="2130" r:id="rId26"/>
      </mc:Fallback>
    </mc:AlternateContent>
    <mc:AlternateContent xmlns:mc="http://schemas.openxmlformats.org/markup-compatibility/2006">
      <mc:Choice Requires="x14">
        <oleObject progId="Equation.DSMT4" shapeId="2132" r:id="rId28">
          <objectPr defaultSize="0" autoPict="0" r:id="rId29">
            <anchor moveWithCells="1">
              <from>
                <xdr:col>2</xdr:col>
                <xdr:colOff>342900</xdr:colOff>
                <xdr:row>48</xdr:row>
                <xdr:rowOff>28575</xdr:rowOff>
              </from>
              <to>
                <xdr:col>2</xdr:col>
                <xdr:colOff>476250</xdr:colOff>
                <xdr:row>49</xdr:row>
                <xdr:rowOff>9525</xdr:rowOff>
              </to>
            </anchor>
          </objectPr>
        </oleObject>
      </mc:Choice>
      <mc:Fallback>
        <oleObject progId="Equation.DSMT4" shapeId="2132" r:id="rId28"/>
      </mc:Fallback>
    </mc:AlternateContent>
    <mc:AlternateContent xmlns:mc="http://schemas.openxmlformats.org/markup-compatibility/2006">
      <mc:Choice Requires="x14">
        <oleObject progId="Equation.DSMT4" shapeId="2133" r:id="rId30">
          <objectPr defaultSize="0" autoPict="0" r:id="rId31">
            <anchor moveWithCells="1">
              <from>
                <xdr:col>3</xdr:col>
                <xdr:colOff>428625</xdr:colOff>
                <xdr:row>48</xdr:row>
                <xdr:rowOff>28575</xdr:rowOff>
              </from>
              <to>
                <xdr:col>3</xdr:col>
                <xdr:colOff>561975</xdr:colOff>
                <xdr:row>49</xdr:row>
                <xdr:rowOff>9525</xdr:rowOff>
              </to>
            </anchor>
          </objectPr>
        </oleObject>
      </mc:Choice>
      <mc:Fallback>
        <oleObject progId="Equation.DSMT4" shapeId="2133" r:id="rId30"/>
      </mc:Fallback>
    </mc:AlternateContent>
    <mc:AlternateContent xmlns:mc="http://schemas.openxmlformats.org/markup-compatibility/2006">
      <mc:Choice Requires="x14">
        <oleObject progId="Equation.DSMT4" shapeId="2134" r:id="rId32">
          <objectPr defaultSize="0" autoPict="0" r:id="rId33">
            <anchor moveWithCells="1">
              <from>
                <xdr:col>6</xdr:col>
                <xdr:colOff>295275</xdr:colOff>
                <xdr:row>48</xdr:row>
                <xdr:rowOff>9525</xdr:rowOff>
              </from>
              <to>
                <xdr:col>6</xdr:col>
                <xdr:colOff>457200</xdr:colOff>
                <xdr:row>49</xdr:row>
                <xdr:rowOff>9525</xdr:rowOff>
              </to>
            </anchor>
          </objectPr>
        </oleObject>
      </mc:Choice>
      <mc:Fallback>
        <oleObject progId="Equation.DSMT4" shapeId="2134" r:id="rId32"/>
      </mc:Fallback>
    </mc:AlternateContent>
    <mc:AlternateContent xmlns:mc="http://schemas.openxmlformats.org/markup-compatibility/2006">
      <mc:Choice Requires="x14">
        <oleObject progId="Equation.DSMT4" shapeId="2135" r:id="rId34">
          <objectPr defaultSize="0" autoPict="0" r:id="rId35">
            <anchor moveWithCells="1">
              <from>
                <xdr:col>7</xdr:col>
                <xdr:colOff>352425</xdr:colOff>
                <xdr:row>48</xdr:row>
                <xdr:rowOff>9525</xdr:rowOff>
              </from>
              <to>
                <xdr:col>7</xdr:col>
                <xdr:colOff>485775</xdr:colOff>
                <xdr:row>48</xdr:row>
                <xdr:rowOff>219075</xdr:rowOff>
              </to>
            </anchor>
          </objectPr>
        </oleObject>
      </mc:Choice>
      <mc:Fallback>
        <oleObject progId="Equation.DSMT4" shapeId="2135" r:id="rId3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tabColor rgb="FF0000FF"/>
  </sheetPr>
  <dimension ref="A1:AA142"/>
  <sheetViews>
    <sheetView zoomScaleNormal="100" workbookViewId="0">
      <pane ySplit="1" topLeftCell="A2" activePane="bottomLeft" state="frozen"/>
      <selection pane="bottomLeft" activeCell="M36" sqref="M36"/>
    </sheetView>
  </sheetViews>
  <sheetFormatPr defaultRowHeight="12" x14ac:dyDescent="0.2"/>
  <cols>
    <col min="1" max="1" width="10" style="6" customWidth="1"/>
    <col min="2" max="2" width="12.5703125" style="6" customWidth="1"/>
    <col min="3" max="3" width="12" style="6" customWidth="1"/>
    <col min="4" max="4" width="12.28515625" style="6" customWidth="1"/>
    <col min="5" max="5" width="8.85546875" style="6" customWidth="1"/>
    <col min="6" max="6" width="11.140625" style="6" customWidth="1"/>
    <col min="7" max="7" width="11.5703125" style="6" customWidth="1"/>
    <col min="8" max="8" width="9.5703125" style="6" customWidth="1"/>
    <col min="9" max="9" width="11.28515625" style="6" customWidth="1"/>
    <col min="10" max="10" width="8.7109375" style="6" customWidth="1"/>
    <col min="11" max="12" width="10.42578125" style="6" customWidth="1"/>
    <col min="13" max="18" width="9.140625" style="6"/>
    <col min="19" max="19" width="13.42578125" style="6" customWidth="1"/>
    <col min="20" max="16384" width="9.140625" style="6"/>
  </cols>
  <sheetData>
    <row r="1" spans="1:10" s="2" customFormat="1" ht="23.25" x14ac:dyDescent="0.2">
      <c r="A1" s="1" t="s">
        <v>210</v>
      </c>
    </row>
    <row r="3" spans="1:10" ht="23.25" x14ac:dyDescent="0.2">
      <c r="A3" s="7" t="s">
        <v>1</v>
      </c>
    </row>
    <row r="4" spans="1:10" x14ac:dyDescent="0.2">
      <c r="A4" s="3" t="s">
        <v>2</v>
      </c>
      <c r="B4" s="3"/>
      <c r="C4" s="8">
        <v>266.8</v>
      </c>
      <c r="D4" s="5" t="s">
        <v>3</v>
      </c>
    </row>
    <row r="5" spans="1:10" x14ac:dyDescent="0.2">
      <c r="A5" s="3" t="s">
        <v>4</v>
      </c>
      <c r="B5" s="3"/>
      <c r="C5" s="8">
        <v>1</v>
      </c>
      <c r="D5" s="5" t="s">
        <v>5</v>
      </c>
    </row>
    <row r="6" spans="1:10" x14ac:dyDescent="0.2">
      <c r="A6" s="3" t="s">
        <v>6</v>
      </c>
      <c r="B6" s="3"/>
      <c r="C6" s="8">
        <v>5</v>
      </c>
      <c r="D6" s="5" t="s">
        <v>7</v>
      </c>
    </row>
    <row r="7" spans="1:10" x14ac:dyDescent="0.2">
      <c r="A7" s="3" t="s">
        <v>8</v>
      </c>
      <c r="B7" s="3"/>
      <c r="C7" s="141">
        <v>0.1</v>
      </c>
      <c r="D7" s="5" t="s">
        <v>3</v>
      </c>
    </row>
    <row r="9" spans="1:10" ht="36" x14ac:dyDescent="0.2">
      <c r="A9" s="9" t="s">
        <v>9</v>
      </c>
      <c r="B9" s="9" t="s">
        <v>10</v>
      </c>
      <c r="C9" s="10" t="s">
        <v>11</v>
      </c>
      <c r="D9" s="11" t="s">
        <v>12</v>
      </c>
      <c r="E9" s="9" t="s">
        <v>13</v>
      </c>
      <c r="F9" s="12" t="s">
        <v>14</v>
      </c>
      <c r="G9" s="13" t="s">
        <v>204</v>
      </c>
      <c r="H9" s="9" t="s">
        <v>205</v>
      </c>
      <c r="I9" s="12" t="s">
        <v>206</v>
      </c>
      <c r="J9" s="9" t="s">
        <v>15</v>
      </c>
    </row>
    <row r="10" spans="1:10" ht="12" customHeight="1" x14ac:dyDescent="0.2">
      <c r="A10" s="9" t="s">
        <v>16</v>
      </c>
      <c r="B10" s="9"/>
      <c r="C10" s="10" t="s">
        <v>17</v>
      </c>
      <c r="D10" s="11" t="s">
        <v>18</v>
      </c>
      <c r="E10" s="9" t="s">
        <v>18</v>
      </c>
      <c r="F10" s="12" t="s">
        <v>19</v>
      </c>
      <c r="G10" s="13" t="s">
        <v>18</v>
      </c>
      <c r="H10" s="9" t="s">
        <v>3</v>
      </c>
      <c r="I10" s="12" t="s">
        <v>19</v>
      </c>
      <c r="J10" s="9" t="s">
        <v>20</v>
      </c>
    </row>
    <row r="11" spans="1:10" x14ac:dyDescent="0.2">
      <c r="A11" s="14">
        <f xml:space="preserve"> bandWidthDegrees * 0.5</f>
        <v>2.5</v>
      </c>
      <c r="B11" s="15">
        <f xml:space="preserve"> J11 / J$29</f>
        <v>8.715574274765818E-2</v>
      </c>
      <c r="C11" s="16">
        <v>0</v>
      </c>
      <c r="D11" s="17">
        <f t="shared" ref="D11:D28" si="0" xml:space="preserve"> TempEquator - C11</f>
        <v>266.8</v>
      </c>
      <c r="E11" s="14">
        <f t="shared" ref="E11:E28" si="1" xml:space="preserve"> D11 * B11</f>
        <v>23.253152165075203</v>
      </c>
      <c r="F11" s="18">
        <f t="shared" ref="F11:F28" si="2" xml:space="preserve"> B11 * sigmaEpsilon * D11^4</f>
        <v>24.914114092936984</v>
      </c>
      <c r="G11" s="19">
        <f t="shared" ref="G11:G28" si="3">D11 + temperatureIncrLat</f>
        <v>266.90000000000003</v>
      </c>
      <c r="H11" s="14">
        <f t="shared" ref="H11:H28" si="4" xml:space="preserve"> B11 * G11</f>
        <v>23.26186773934997</v>
      </c>
      <c r="I11" s="18">
        <f t="shared" ref="I11:I28" si="5" xml:space="preserve"> B11 * sigmaEpsilon * G11^4</f>
        <v>24.951487593355129</v>
      </c>
      <c r="J11" s="20">
        <f t="shared" ref="J11:J28" si="6" xml:space="preserve"> 2 * (2 * PI() * radiusOfEarth * COS(A11 * PI() / 180)) * (2 * PI() * radiusOfEarth * bandWidthDegrees / 360)</f>
        <v>1.0955789694027556</v>
      </c>
    </row>
    <row r="12" spans="1:10" x14ac:dyDescent="0.2">
      <c r="A12" s="14">
        <f t="shared" ref="A12:A28" si="7">A11 + bandWidthDegrees</f>
        <v>7.5</v>
      </c>
      <c r="B12" s="15">
        <f t="shared" ref="B12:B28" si="8" xml:space="preserve"> J12 / J$29</f>
        <v>8.6492434919272165E-2</v>
      </c>
      <c r="C12" s="16">
        <v>0</v>
      </c>
      <c r="D12" s="17">
        <f t="shared" si="0"/>
        <v>266.8</v>
      </c>
      <c r="E12" s="14">
        <f t="shared" si="1"/>
        <v>23.076181636461815</v>
      </c>
      <c r="F12" s="18">
        <f t="shared" si="2"/>
        <v>24.724502641136333</v>
      </c>
      <c r="G12" s="19">
        <f t="shared" si="3"/>
        <v>266.90000000000003</v>
      </c>
      <c r="H12" s="14">
        <f t="shared" si="4"/>
        <v>23.084830879953746</v>
      </c>
      <c r="I12" s="18">
        <f t="shared" si="5"/>
        <v>24.761591706649558</v>
      </c>
      <c r="J12" s="20">
        <f t="shared" si="6"/>
        <v>1.0872409519169319</v>
      </c>
    </row>
    <row r="13" spans="1:10" x14ac:dyDescent="0.2">
      <c r="A13" s="14">
        <f t="shared" si="7"/>
        <v>12.5</v>
      </c>
      <c r="B13" s="15">
        <f t="shared" si="8"/>
        <v>8.5170867435590394E-2</v>
      </c>
      <c r="C13" s="16">
        <v>1</v>
      </c>
      <c r="D13" s="17">
        <f t="shared" si="0"/>
        <v>265.8</v>
      </c>
      <c r="E13" s="14">
        <f t="shared" si="1"/>
        <v>22.638416564379927</v>
      </c>
      <c r="F13" s="18">
        <f t="shared" si="2"/>
        <v>23.98375154129727</v>
      </c>
      <c r="G13" s="19">
        <f t="shared" si="3"/>
        <v>265.90000000000003</v>
      </c>
      <c r="H13" s="14">
        <f t="shared" si="4"/>
        <v>22.64693365112349</v>
      </c>
      <c r="I13" s="18">
        <f t="shared" si="5"/>
        <v>24.019864844209035</v>
      </c>
      <c r="J13" s="20">
        <f t="shared" si="6"/>
        <v>1.0706283742929845</v>
      </c>
    </row>
    <row r="14" spans="1:10" x14ac:dyDescent="0.2">
      <c r="A14" s="14">
        <f t="shared" si="7"/>
        <v>17.5</v>
      </c>
      <c r="B14" s="15">
        <f t="shared" si="8"/>
        <v>8.320109822314796E-2</v>
      </c>
      <c r="C14" s="16">
        <v>2</v>
      </c>
      <c r="D14" s="17">
        <f t="shared" si="0"/>
        <v>264.8</v>
      </c>
      <c r="E14" s="14">
        <f t="shared" si="1"/>
        <v>22.03165080948958</v>
      </c>
      <c r="F14" s="18">
        <f t="shared" si="2"/>
        <v>23.078475734750342</v>
      </c>
      <c r="G14" s="19">
        <f t="shared" si="3"/>
        <v>264.90000000000003</v>
      </c>
      <c r="H14" s="14">
        <f t="shared" si="4"/>
        <v>22.039970919311898</v>
      </c>
      <c r="I14" s="18">
        <f t="shared" si="5"/>
        <v>23.113357233513305</v>
      </c>
      <c r="J14" s="20">
        <f t="shared" si="6"/>
        <v>1.0458676682775803</v>
      </c>
    </row>
    <row r="15" spans="1:10" x14ac:dyDescent="0.2">
      <c r="A15" s="14">
        <f t="shared" si="7"/>
        <v>22.5</v>
      </c>
      <c r="B15" s="15">
        <f t="shared" si="8"/>
        <v>8.0598118415030687E-2</v>
      </c>
      <c r="C15" s="16">
        <v>3</v>
      </c>
      <c r="D15" s="17">
        <f t="shared" si="0"/>
        <v>263.8</v>
      </c>
      <c r="E15" s="14">
        <f t="shared" si="1"/>
        <v>21.261783637885095</v>
      </c>
      <c r="F15" s="18">
        <f t="shared" si="2"/>
        <v>22.020653724784228</v>
      </c>
      <c r="G15" s="19">
        <f t="shared" si="3"/>
        <v>263.90000000000003</v>
      </c>
      <c r="H15" s="14">
        <f t="shared" si="4"/>
        <v>21.269843449726601</v>
      </c>
      <c r="I15" s="18">
        <f t="shared" si="5"/>
        <v>22.054062637764151</v>
      </c>
      <c r="J15" s="20">
        <f t="shared" si="6"/>
        <v>1.0131472777944193</v>
      </c>
    </row>
    <row r="16" spans="1:10" x14ac:dyDescent="0.2">
      <c r="A16" s="14">
        <f t="shared" si="7"/>
        <v>27.5</v>
      </c>
      <c r="B16" s="15">
        <f t="shared" si="8"/>
        <v>7.7381738259300559E-2</v>
      </c>
      <c r="C16" s="16">
        <v>5</v>
      </c>
      <c r="D16" s="17">
        <f t="shared" si="0"/>
        <v>261.8</v>
      </c>
      <c r="E16" s="14">
        <f t="shared" si="1"/>
        <v>20.258539076284887</v>
      </c>
      <c r="F16" s="18">
        <f t="shared" si="2"/>
        <v>20.507994379138335</v>
      </c>
      <c r="G16" s="19">
        <f t="shared" si="3"/>
        <v>261.90000000000003</v>
      </c>
      <c r="H16" s="14">
        <f t="shared" si="4"/>
        <v>20.266277250110818</v>
      </c>
      <c r="I16" s="18">
        <f t="shared" si="5"/>
        <v>20.539346170672861</v>
      </c>
      <c r="J16" s="20">
        <f t="shared" si="6"/>
        <v>0.97271622477219055</v>
      </c>
    </row>
    <row r="17" spans="1:14" x14ac:dyDescent="0.2">
      <c r="A17" s="14">
        <f t="shared" si="7"/>
        <v>32.5</v>
      </c>
      <c r="B17" s="15">
        <f t="shared" si="8"/>
        <v>7.3576436351046104E-2</v>
      </c>
      <c r="C17" s="16">
        <v>8</v>
      </c>
      <c r="D17" s="17">
        <f t="shared" si="0"/>
        <v>258.8</v>
      </c>
      <c r="E17" s="14">
        <f t="shared" si="1"/>
        <v>19.041581727650733</v>
      </c>
      <c r="F17" s="18">
        <f t="shared" si="2"/>
        <v>18.620956121310723</v>
      </c>
      <c r="G17" s="19">
        <f t="shared" si="3"/>
        <v>258.90000000000003</v>
      </c>
      <c r="H17" s="14">
        <f t="shared" si="4"/>
        <v>19.04893937128584</v>
      </c>
      <c r="I17" s="18">
        <f t="shared" si="5"/>
        <v>18.649753264391713</v>
      </c>
      <c r="J17" s="20">
        <f t="shared" si="6"/>
        <v>0.9248822139373305</v>
      </c>
    </row>
    <row r="18" spans="1:14" x14ac:dyDescent="0.2">
      <c r="A18" s="14">
        <f t="shared" si="7"/>
        <v>37.5</v>
      </c>
      <c r="B18" s="15">
        <f t="shared" si="8"/>
        <v>6.9211173335493217E-2</v>
      </c>
      <c r="C18" s="16">
        <v>11</v>
      </c>
      <c r="D18" s="17">
        <f t="shared" si="0"/>
        <v>255.8</v>
      </c>
      <c r="E18" s="14">
        <f t="shared" si="1"/>
        <v>17.704218139219165</v>
      </c>
      <c r="F18" s="18">
        <f t="shared" si="2"/>
        <v>16.718007360251786</v>
      </c>
      <c r="G18" s="19">
        <f t="shared" si="3"/>
        <v>255.9</v>
      </c>
      <c r="H18" s="14">
        <f t="shared" si="4"/>
        <v>17.711139256552716</v>
      </c>
      <c r="I18" s="18">
        <f t="shared" si="5"/>
        <v>16.744165004163865</v>
      </c>
      <c r="J18" s="20">
        <f t="shared" si="6"/>
        <v>0.87000929099525737</v>
      </c>
    </row>
    <row r="19" spans="1:14" x14ac:dyDescent="0.2">
      <c r="A19" s="14">
        <f t="shared" si="7"/>
        <v>42.5</v>
      </c>
      <c r="B19" s="15">
        <f t="shared" si="8"/>
        <v>6.4319171500008182E-2</v>
      </c>
      <c r="C19" s="16">
        <v>15</v>
      </c>
      <c r="D19" s="17">
        <f t="shared" si="0"/>
        <v>251.8</v>
      </c>
      <c r="E19" s="14">
        <f t="shared" si="1"/>
        <v>16.195567383702063</v>
      </c>
      <c r="F19" s="18">
        <f t="shared" si="2"/>
        <v>14.587117603762765</v>
      </c>
      <c r="G19" s="19">
        <f t="shared" si="3"/>
        <v>251.9</v>
      </c>
      <c r="H19" s="14">
        <f t="shared" si="4"/>
        <v>16.201999300852062</v>
      </c>
      <c r="I19" s="18">
        <f t="shared" si="5"/>
        <v>14.610303957391627</v>
      </c>
      <c r="J19" s="20">
        <f t="shared" si="6"/>
        <v>0.80851507202273776</v>
      </c>
    </row>
    <row r="20" spans="1:14" x14ac:dyDescent="0.2">
      <c r="A20" s="14">
        <f t="shared" si="7"/>
        <v>47.5</v>
      </c>
      <c r="B20" s="15">
        <f t="shared" si="8"/>
        <v>5.8937661932430496E-2</v>
      </c>
      <c r="C20" s="16">
        <v>19</v>
      </c>
      <c r="D20" s="17">
        <f t="shared" si="0"/>
        <v>247.8</v>
      </c>
      <c r="E20" s="14">
        <f t="shared" si="1"/>
        <v>14.604752626856278</v>
      </c>
      <c r="F20" s="18">
        <f t="shared" si="2"/>
        <v>12.537306728299555</v>
      </c>
      <c r="G20" s="19">
        <f t="shared" si="3"/>
        <v>247.9</v>
      </c>
      <c r="H20" s="14">
        <f t="shared" si="4"/>
        <v>14.610646393049521</v>
      </c>
      <c r="I20" s="18">
        <f t="shared" si="5"/>
        <v>12.55755676532776</v>
      </c>
      <c r="J20" s="20">
        <f t="shared" si="6"/>
        <v>0.74086756515737695</v>
      </c>
    </row>
    <row r="21" spans="1:14" x14ac:dyDescent="0.2">
      <c r="A21" s="14">
        <f t="shared" si="7"/>
        <v>52.5</v>
      </c>
      <c r="B21" s="15">
        <f t="shared" si="8"/>
        <v>5.310760117001375E-2</v>
      </c>
      <c r="C21" s="16">
        <v>23</v>
      </c>
      <c r="D21" s="17">
        <f t="shared" si="0"/>
        <v>243.8</v>
      </c>
      <c r="E21" s="14">
        <f t="shared" si="1"/>
        <v>12.947633165249353</v>
      </c>
      <c r="F21" s="18">
        <f t="shared" si="2"/>
        <v>10.585164945200049</v>
      </c>
      <c r="G21" s="19">
        <f t="shared" si="3"/>
        <v>243.9</v>
      </c>
      <c r="H21" s="14">
        <f t="shared" si="4"/>
        <v>12.952943925366354</v>
      </c>
      <c r="I21" s="18">
        <f t="shared" si="5"/>
        <v>10.602542597928487</v>
      </c>
      <c r="J21" s="20">
        <f t="shared" si="6"/>
        <v>0.6675816087731018</v>
      </c>
    </row>
    <row r="22" spans="1:14" x14ac:dyDescent="0.2">
      <c r="A22" s="14">
        <f t="shared" si="7"/>
        <v>57.5</v>
      </c>
      <c r="B22" s="15">
        <f t="shared" si="8"/>
        <v>4.6873359495446854E-2</v>
      </c>
      <c r="C22" s="16">
        <v>27</v>
      </c>
      <c r="D22" s="17">
        <f t="shared" si="0"/>
        <v>239.8</v>
      </c>
      <c r="E22" s="14">
        <f t="shared" si="1"/>
        <v>11.240231607008155</v>
      </c>
      <c r="F22" s="18">
        <f t="shared" si="2"/>
        <v>8.744378262505407</v>
      </c>
      <c r="G22" s="19">
        <f t="shared" si="3"/>
        <v>239.9</v>
      </c>
      <c r="H22" s="14">
        <f t="shared" si="4"/>
        <v>11.2449189429577</v>
      </c>
      <c r="I22" s="18">
        <f t="shared" si="5"/>
        <v>8.7589735078396753</v>
      </c>
      <c r="J22" s="20">
        <f t="shared" si="6"/>
        <v>0.58921495324926676</v>
      </c>
    </row>
    <row r="23" spans="1:14" x14ac:dyDescent="0.2">
      <c r="A23" s="14">
        <f t="shared" si="7"/>
        <v>62.5</v>
      </c>
      <c r="B23" s="15">
        <f t="shared" si="8"/>
        <v>4.0282383252211326E-2</v>
      </c>
      <c r="C23" s="16">
        <v>31</v>
      </c>
      <c r="D23" s="17">
        <f t="shared" si="0"/>
        <v>235.8</v>
      </c>
      <c r="E23" s="14">
        <f t="shared" si="1"/>
        <v>9.4985859708714315</v>
      </c>
      <c r="F23" s="18">
        <f t="shared" si="2"/>
        <v>7.0258115988356353</v>
      </c>
      <c r="G23" s="19">
        <f t="shared" si="3"/>
        <v>235.9</v>
      </c>
      <c r="H23" s="14">
        <f t="shared" si="4"/>
        <v>9.5026142091966523</v>
      </c>
      <c r="I23" s="18">
        <f t="shared" si="5"/>
        <v>7.0377374380355802</v>
      </c>
      <c r="J23" s="20">
        <f t="shared" si="6"/>
        <v>0.50636401615348892</v>
      </c>
    </row>
    <row r="24" spans="1:14" x14ac:dyDescent="0.2">
      <c r="A24" s="14">
        <f t="shared" si="7"/>
        <v>67.5</v>
      </c>
      <c r="B24" s="15">
        <f t="shared" si="8"/>
        <v>3.3384833749258422E-2</v>
      </c>
      <c r="C24" s="16">
        <v>35</v>
      </c>
      <c r="D24" s="17">
        <f t="shared" si="0"/>
        <v>231.8</v>
      </c>
      <c r="E24" s="14">
        <f t="shared" si="1"/>
        <v>7.7386044630781026</v>
      </c>
      <c r="F24" s="18">
        <f t="shared" si="2"/>
        <v>5.4376228762912877</v>
      </c>
      <c r="G24" s="19">
        <f t="shared" si="3"/>
        <v>231.9</v>
      </c>
      <c r="H24" s="14">
        <f t="shared" si="4"/>
        <v>7.7419429464530278</v>
      </c>
      <c r="I24" s="18">
        <f t="shared" si="5"/>
        <v>5.4470122509698804</v>
      </c>
      <c r="J24" s="20">
        <f t="shared" si="6"/>
        <v>0.41965934314383019</v>
      </c>
    </row>
    <row r="25" spans="1:14" x14ac:dyDescent="0.2">
      <c r="A25" s="14">
        <f t="shared" si="7"/>
        <v>72.5</v>
      </c>
      <c r="B25" s="15">
        <f t="shared" si="8"/>
        <v>2.6233205503159916E-2</v>
      </c>
      <c r="C25" s="16">
        <v>40</v>
      </c>
      <c r="D25" s="17">
        <f t="shared" si="0"/>
        <v>226.8</v>
      </c>
      <c r="E25" s="14">
        <f t="shared" si="1"/>
        <v>5.9496910081166687</v>
      </c>
      <c r="F25" s="18">
        <f t="shared" si="2"/>
        <v>3.915882951163673</v>
      </c>
      <c r="G25" s="19">
        <f t="shared" si="3"/>
        <v>226.9</v>
      </c>
      <c r="H25" s="14">
        <f t="shared" si="4"/>
        <v>5.9523143286669846</v>
      </c>
      <c r="I25" s="18">
        <f t="shared" si="5"/>
        <v>3.9227938393157054</v>
      </c>
      <c r="J25" s="20">
        <f t="shared" si="6"/>
        <v>0.32976080913560774</v>
      </c>
    </row>
    <row r="26" spans="1:14" x14ac:dyDescent="0.2">
      <c r="A26" s="14">
        <f t="shared" si="7"/>
        <v>77.5</v>
      </c>
      <c r="B26" s="15">
        <f t="shared" si="8"/>
        <v>1.8881926723139771E-2</v>
      </c>
      <c r="C26" s="16">
        <v>45</v>
      </c>
      <c r="D26" s="17">
        <f t="shared" si="0"/>
        <v>221.8</v>
      </c>
      <c r="E26" s="14">
        <f t="shared" si="1"/>
        <v>4.1880113471924014</v>
      </c>
      <c r="F26" s="18">
        <f t="shared" si="2"/>
        <v>2.578093208382827</v>
      </c>
      <c r="G26" s="19">
        <f t="shared" si="3"/>
        <v>221.9</v>
      </c>
      <c r="H26" s="14">
        <f t="shared" si="4"/>
        <v>4.1898995398647152</v>
      </c>
      <c r="I26" s="18">
        <f t="shared" si="5"/>
        <v>2.5827457552865414</v>
      </c>
      <c r="J26" s="20">
        <f t="shared" si="6"/>
        <v>0.23735259625484242</v>
      </c>
    </row>
    <row r="27" spans="1:14" x14ac:dyDescent="0.2">
      <c r="A27" s="14">
        <f t="shared" si="7"/>
        <v>82.5</v>
      </c>
      <c r="B27" s="15">
        <f t="shared" si="8"/>
        <v>1.1386945079537482E-2</v>
      </c>
      <c r="C27" s="16">
        <v>47</v>
      </c>
      <c r="D27" s="17">
        <f t="shared" si="0"/>
        <v>219.8</v>
      </c>
      <c r="E27" s="14">
        <f t="shared" si="1"/>
        <v>2.5028505284823384</v>
      </c>
      <c r="F27" s="18">
        <f t="shared" si="2"/>
        <v>1.49942282629755</v>
      </c>
      <c r="G27" s="19">
        <f t="shared" si="3"/>
        <v>219.9</v>
      </c>
      <c r="H27" s="14">
        <f t="shared" si="4"/>
        <v>2.5039892229902923</v>
      </c>
      <c r="I27" s="18">
        <f t="shared" si="5"/>
        <v>1.5021533929957847</v>
      </c>
      <c r="J27" s="20">
        <f t="shared" si="6"/>
        <v>0.14313798679916198</v>
      </c>
    </row>
    <row r="28" spans="1:14" x14ac:dyDescent="0.2">
      <c r="A28" s="14">
        <f t="shared" si="7"/>
        <v>87.5</v>
      </c>
      <c r="B28" s="15">
        <f t="shared" si="8"/>
        <v>3.8053019082544869E-3</v>
      </c>
      <c r="C28" s="16">
        <v>48</v>
      </c>
      <c r="D28" s="21">
        <f t="shared" si="0"/>
        <v>218.8</v>
      </c>
      <c r="E28" s="22">
        <f t="shared" si="1"/>
        <v>0.83260005752608179</v>
      </c>
      <c r="F28" s="18">
        <f t="shared" si="2"/>
        <v>0.49202200812842223</v>
      </c>
      <c r="G28" s="19">
        <f t="shared" si="3"/>
        <v>218.9</v>
      </c>
      <c r="H28" s="14">
        <f t="shared" si="4"/>
        <v>0.83298058771690719</v>
      </c>
      <c r="I28" s="18">
        <f t="shared" si="5"/>
        <v>0.4929221167579218</v>
      </c>
      <c r="J28" s="20">
        <f t="shared" si="6"/>
        <v>4.7834010834860434E-2</v>
      </c>
    </row>
    <row r="29" spans="1:14" x14ac:dyDescent="0.2">
      <c r="A29" s="23" t="s">
        <v>21</v>
      </c>
      <c r="B29" s="24">
        <f xml:space="preserve"> SUM(B11:B28)</f>
        <v>1</v>
      </c>
      <c r="C29" s="25"/>
      <c r="D29" s="31"/>
      <c r="E29" s="27">
        <f xml:space="preserve"> SUM(E11:E28)</f>
        <v>254.96405191452928</v>
      </c>
      <c r="F29" s="68">
        <f xml:space="preserve"> SUM(F11:F28)</f>
        <v>241.97127860447321</v>
      </c>
      <c r="G29" s="52"/>
      <c r="H29" s="27">
        <f t="shared" ref="H29:J29" si="9" xml:space="preserve"> SUM(H11:H28)</f>
        <v>255.0640519145293</v>
      </c>
      <c r="I29" s="68">
        <f t="shared" si="9"/>
        <v>242.34837007656856</v>
      </c>
      <c r="J29" s="30">
        <f t="shared" si="9"/>
        <v>12.570358932913726</v>
      </c>
    </row>
    <row r="30" spans="1:14" x14ac:dyDescent="0.2">
      <c r="E30" s="31" t="s">
        <v>72</v>
      </c>
      <c r="F30" s="68">
        <f xml:space="preserve"> (F29 / sigmaEpsilon)^0.25</f>
        <v>255.91127462876153</v>
      </c>
      <c r="H30" s="31" t="s">
        <v>71</v>
      </c>
      <c r="I30" s="68">
        <f xml:space="preserve"> (I29 / sigmaEpsilon)^0.25</f>
        <v>256.01092035405912</v>
      </c>
    </row>
    <row r="31" spans="1:14" ht="12" customHeight="1" x14ac:dyDescent="0.2">
      <c r="K31" s="60" t="s">
        <v>74</v>
      </c>
    </row>
    <row r="32" spans="1:14" ht="12" customHeight="1" x14ac:dyDescent="0.2">
      <c r="A32" s="50" t="s">
        <v>198</v>
      </c>
      <c r="B32" s="51">
        <f>H29 - E29</f>
        <v>0.10000000000002274</v>
      </c>
      <c r="C32" s="9" t="s">
        <v>18</v>
      </c>
      <c r="E32" s="32"/>
      <c r="F32" s="33"/>
      <c r="G32" s="34" t="s">
        <v>73</v>
      </c>
      <c r="H32" s="59">
        <f xml:space="preserve"> F30 / (4 * F29)</f>
        <v>0.26440253168132682</v>
      </c>
      <c r="I32" s="9" t="s">
        <v>64</v>
      </c>
      <c r="K32" s="61"/>
      <c r="L32" s="35" t="s">
        <v>68</v>
      </c>
      <c r="M32" s="51">
        <f xml:space="preserve"> 100 * (H33 - H32) / H32</f>
        <v>-5.8387461835284517E-2</v>
      </c>
      <c r="N32" s="9" t="s">
        <v>23</v>
      </c>
    </row>
    <row r="33" spans="1:14" ht="12" customHeight="1" x14ac:dyDescent="0.2">
      <c r="A33" s="50" t="s">
        <v>199</v>
      </c>
      <c r="B33" s="51">
        <f xml:space="preserve"> I29 - F29</f>
        <v>0.37709147209534422</v>
      </c>
      <c r="C33" s="9" t="s">
        <v>19</v>
      </c>
      <c r="E33" s="32"/>
      <c r="F33" s="33"/>
      <c r="G33" s="34" t="s">
        <v>201</v>
      </c>
      <c r="H33" s="59">
        <f xml:space="preserve"> B34 / B33</f>
        <v>0.26424815375404986</v>
      </c>
      <c r="I33" s="9" t="s">
        <v>64</v>
      </c>
      <c r="K33" s="61"/>
      <c r="L33" s="35" t="s">
        <v>69</v>
      </c>
      <c r="M33" s="36">
        <f xml:space="preserve"> 100 * (H34 - H33) / H32</f>
        <v>0.3553266829732159</v>
      </c>
      <c r="N33" s="9" t="s">
        <v>23</v>
      </c>
    </row>
    <row r="34" spans="1:14" ht="12" customHeight="1" x14ac:dyDescent="0.2">
      <c r="A34" s="50" t="s">
        <v>200</v>
      </c>
      <c r="B34" s="51">
        <f xml:space="preserve"> I30 - F30</f>
        <v>9.9645725297591525E-2</v>
      </c>
      <c r="C34" s="9" t="s">
        <v>18</v>
      </c>
      <c r="E34" s="56"/>
      <c r="F34" s="57"/>
      <c r="G34" s="58" t="s">
        <v>202</v>
      </c>
      <c r="H34" s="59">
        <f xml:space="preserve"> B32 / B33</f>
        <v>0.26518764649957033</v>
      </c>
      <c r="I34" s="9" t="s">
        <v>64</v>
      </c>
      <c r="K34" s="61"/>
      <c r="L34" s="35" t="s">
        <v>70</v>
      </c>
      <c r="M34" s="51">
        <f xml:space="preserve"> 100 * (H34 - H32) / H32</f>
        <v>0.29693922113793136</v>
      </c>
      <c r="N34" s="9" t="s">
        <v>23</v>
      </c>
    </row>
    <row r="35" spans="1:14" ht="12" customHeight="1" x14ac:dyDescent="0.2">
      <c r="E35" s="56"/>
      <c r="F35" s="57"/>
      <c r="G35" s="58" t="s">
        <v>203</v>
      </c>
      <c r="H35" s="59">
        <f xml:space="preserve"> B32 / B34</f>
        <v>1.0035553427040966</v>
      </c>
      <c r="I35" s="9">
        <v>1</v>
      </c>
    </row>
    <row r="36" spans="1:14" ht="12" customHeight="1" x14ac:dyDescent="0.2">
      <c r="E36" s="29"/>
      <c r="F36" s="29"/>
      <c r="G36" s="29"/>
    </row>
    <row r="37" spans="1:14" ht="23.25" x14ac:dyDescent="0.2">
      <c r="A37" s="7" t="s">
        <v>24</v>
      </c>
      <c r="E37" s="47"/>
      <c r="F37" s="47"/>
      <c r="G37" s="47"/>
    </row>
    <row r="38" spans="1:14" x14ac:dyDescent="0.2">
      <c r="A38" s="3" t="s">
        <v>25</v>
      </c>
      <c r="B38" s="3"/>
      <c r="C38" s="8">
        <v>262</v>
      </c>
      <c r="D38" s="5" t="s">
        <v>3</v>
      </c>
    </row>
    <row r="39" spans="1:14" x14ac:dyDescent="0.2">
      <c r="A39" s="3" t="s">
        <v>26</v>
      </c>
      <c r="B39" s="3"/>
      <c r="C39" s="8">
        <v>14</v>
      </c>
      <c r="D39" s="5" t="s">
        <v>3</v>
      </c>
    </row>
    <row r="40" spans="1:14" x14ac:dyDescent="0.2">
      <c r="A40" s="3" t="s">
        <v>8</v>
      </c>
      <c r="B40" s="3"/>
      <c r="C40" s="141">
        <v>0.1</v>
      </c>
      <c r="D40" s="5" t="s">
        <v>3</v>
      </c>
    </row>
    <row r="42" spans="1:14" ht="36.75" customHeight="1" x14ac:dyDescent="0.2">
      <c r="A42" s="9" t="s">
        <v>27</v>
      </c>
      <c r="B42" s="9" t="s">
        <v>10</v>
      </c>
      <c r="C42" s="10" t="s">
        <v>28</v>
      </c>
      <c r="D42" s="11" t="s">
        <v>12</v>
      </c>
      <c r="E42" s="9" t="s">
        <v>13</v>
      </c>
      <c r="F42" s="12" t="s">
        <v>14</v>
      </c>
      <c r="G42" s="13" t="s">
        <v>204</v>
      </c>
      <c r="H42" s="9" t="s">
        <v>205</v>
      </c>
      <c r="I42" s="12" t="s">
        <v>206</v>
      </c>
    </row>
    <row r="43" spans="1:14" ht="12" customHeight="1" x14ac:dyDescent="0.2">
      <c r="A43" s="9"/>
      <c r="B43" s="9"/>
      <c r="C43" s="10" t="s">
        <v>17</v>
      </c>
      <c r="D43" s="11" t="s">
        <v>18</v>
      </c>
      <c r="E43" s="9" t="s">
        <v>18</v>
      </c>
      <c r="F43" s="12" t="s">
        <v>19</v>
      </c>
      <c r="G43" s="13" t="s">
        <v>18</v>
      </c>
      <c r="H43" s="9" t="s">
        <v>3</v>
      </c>
      <c r="I43" s="12" t="s">
        <v>19</v>
      </c>
    </row>
    <row r="44" spans="1:14" x14ac:dyDescent="0.2">
      <c r="A44" s="37">
        <v>0</v>
      </c>
      <c r="B44" s="38">
        <f xml:space="preserve"> 1 / 24</f>
        <v>4.1666666666666664E-2</v>
      </c>
      <c r="C44" s="39">
        <f t="shared" ref="C44:C49" si="10" xml:space="preserve"> (A44 + 8) * TempRangeInDay / 14</f>
        <v>8</v>
      </c>
      <c r="D44" s="17">
        <f t="shared" ref="D44:D67" si="11" xml:space="preserve"> TempMaxInDay - C44</f>
        <v>254</v>
      </c>
      <c r="E44" s="14">
        <f xml:space="preserve"> B44 * D44</f>
        <v>10.583333333333332</v>
      </c>
      <c r="F44" s="18">
        <f t="shared" ref="F44:F67" si="12" xml:space="preserve"> B44 * sigmaEpsilon * D44^4</f>
        <v>9.7843000926509998</v>
      </c>
      <c r="G44" s="19">
        <f t="shared" ref="G44:G67" si="13">D44 + temperatureIncrTimeOfDay</f>
        <v>254.1</v>
      </c>
      <c r="H44" s="14">
        <f t="shared" ref="H44:H67" si="14" xml:space="preserve"> B44 * G44</f>
        <v>10.587499999999999</v>
      </c>
      <c r="I44" s="18">
        <f t="shared" ref="I44:I67" si="15" xml:space="preserve"> B44 * sigmaEpsilon * G44^4</f>
        <v>9.7997175410594171</v>
      </c>
    </row>
    <row r="45" spans="1:14" x14ac:dyDescent="0.2">
      <c r="A45" s="37">
        <v>1</v>
      </c>
      <c r="B45" s="38">
        <f t="shared" ref="B45:B67" si="16" xml:space="preserve"> 1 / 24</f>
        <v>4.1666666666666664E-2</v>
      </c>
      <c r="C45" s="39">
        <f t="shared" si="10"/>
        <v>9</v>
      </c>
      <c r="D45" s="17">
        <f t="shared" si="11"/>
        <v>253</v>
      </c>
      <c r="E45" s="14">
        <f t="shared" ref="E45:E67" si="17" xml:space="preserve"> B45 * D45</f>
        <v>10.541666666666666</v>
      </c>
      <c r="F45" s="18">
        <f t="shared" si="12"/>
        <v>9.6311241824056868</v>
      </c>
      <c r="G45" s="19">
        <f t="shared" si="13"/>
        <v>253.1</v>
      </c>
      <c r="H45" s="14">
        <f t="shared" si="14"/>
        <v>10.545833333333333</v>
      </c>
      <c r="I45" s="18">
        <f t="shared" si="15"/>
        <v>9.6463602865003644</v>
      </c>
    </row>
    <row r="46" spans="1:14" x14ac:dyDescent="0.2">
      <c r="A46" s="37">
        <v>2</v>
      </c>
      <c r="B46" s="38">
        <f t="shared" si="16"/>
        <v>4.1666666666666664E-2</v>
      </c>
      <c r="C46" s="39">
        <f t="shared" si="10"/>
        <v>10</v>
      </c>
      <c r="D46" s="17">
        <f t="shared" si="11"/>
        <v>252</v>
      </c>
      <c r="E46" s="14">
        <f t="shared" si="17"/>
        <v>10.5</v>
      </c>
      <c r="F46" s="18">
        <f t="shared" si="12"/>
        <v>9.4797538587360002</v>
      </c>
      <c r="G46" s="19">
        <f t="shared" si="13"/>
        <v>252.1</v>
      </c>
      <c r="H46" s="14">
        <f t="shared" si="14"/>
        <v>10.504166666666666</v>
      </c>
      <c r="I46" s="18">
        <f t="shared" si="15"/>
        <v>9.4948100461364664</v>
      </c>
    </row>
    <row r="47" spans="1:14" x14ac:dyDescent="0.2">
      <c r="A47" s="37">
        <v>3</v>
      </c>
      <c r="B47" s="38">
        <f t="shared" si="16"/>
        <v>4.1666666666666664E-2</v>
      </c>
      <c r="C47" s="39">
        <f t="shared" si="10"/>
        <v>11</v>
      </c>
      <c r="D47" s="17">
        <f t="shared" si="11"/>
        <v>251</v>
      </c>
      <c r="E47" s="14">
        <f t="shared" si="17"/>
        <v>10.458333333333332</v>
      </c>
      <c r="F47" s="18">
        <f t="shared" si="12"/>
        <v>9.330174876475688</v>
      </c>
      <c r="G47" s="19">
        <f t="shared" si="13"/>
        <v>251.1</v>
      </c>
      <c r="H47" s="14">
        <f t="shared" si="14"/>
        <v>10.462499999999999</v>
      </c>
      <c r="I47" s="18">
        <f t="shared" si="15"/>
        <v>9.3450525691598276</v>
      </c>
    </row>
    <row r="48" spans="1:14" x14ac:dyDescent="0.2">
      <c r="A48" s="37">
        <v>4</v>
      </c>
      <c r="B48" s="38">
        <f t="shared" si="16"/>
        <v>4.1666666666666664E-2</v>
      </c>
      <c r="C48" s="39">
        <f t="shared" si="10"/>
        <v>12</v>
      </c>
      <c r="D48" s="17">
        <f t="shared" si="11"/>
        <v>250</v>
      </c>
      <c r="E48" s="14">
        <f t="shared" si="17"/>
        <v>10.416666666666666</v>
      </c>
      <c r="F48" s="18">
        <f t="shared" si="12"/>
        <v>9.182373046875</v>
      </c>
      <c r="G48" s="19">
        <f t="shared" si="13"/>
        <v>250.1</v>
      </c>
      <c r="H48" s="14">
        <f t="shared" si="14"/>
        <v>10.420833333333333</v>
      </c>
      <c r="I48" s="18">
        <f t="shared" si="15"/>
        <v>9.1970736611790453</v>
      </c>
    </row>
    <row r="49" spans="1:9" x14ac:dyDescent="0.2">
      <c r="A49" s="37">
        <v>5</v>
      </c>
      <c r="B49" s="38">
        <f t="shared" si="16"/>
        <v>4.1666666666666664E-2</v>
      </c>
      <c r="C49" s="39">
        <f t="shared" si="10"/>
        <v>13</v>
      </c>
      <c r="D49" s="17">
        <f t="shared" si="11"/>
        <v>249</v>
      </c>
      <c r="E49" s="14">
        <f t="shared" si="17"/>
        <v>10.375</v>
      </c>
      <c r="F49" s="18">
        <f t="shared" si="12"/>
        <v>9.0363342376006877</v>
      </c>
      <c r="G49" s="19">
        <f t="shared" si="13"/>
        <v>249.1</v>
      </c>
      <c r="H49" s="14">
        <f t="shared" si="14"/>
        <v>10.379166666666666</v>
      </c>
      <c r="I49" s="18">
        <f t="shared" si="15"/>
        <v>9.0508591842192221</v>
      </c>
    </row>
    <row r="50" spans="1:9" x14ac:dyDescent="0.2">
      <c r="A50" s="37">
        <v>6</v>
      </c>
      <c r="B50" s="38">
        <f t="shared" si="16"/>
        <v>4.1666666666666664E-2</v>
      </c>
      <c r="C50" s="39">
        <f t="shared" ref="C50:C59" si="18" xml:space="preserve"> (16 - A50) * TempRangeInDay / 10</f>
        <v>14</v>
      </c>
      <c r="D50" s="17">
        <f t="shared" si="11"/>
        <v>248</v>
      </c>
      <c r="E50" s="14">
        <f t="shared" si="17"/>
        <v>10.333333333333332</v>
      </c>
      <c r="F50" s="18">
        <f t="shared" si="12"/>
        <v>8.8920443727359988</v>
      </c>
      <c r="G50" s="19">
        <f t="shared" si="13"/>
        <v>248.1</v>
      </c>
      <c r="H50" s="14">
        <f t="shared" si="14"/>
        <v>10.337499999999999</v>
      </c>
      <c r="I50" s="18">
        <f t="shared" si="15"/>
        <v>8.9063950567219567</v>
      </c>
    </row>
    <row r="51" spans="1:9" x14ac:dyDescent="0.2">
      <c r="A51" s="37">
        <v>7</v>
      </c>
      <c r="B51" s="38">
        <f t="shared" si="16"/>
        <v>4.1666666666666664E-2</v>
      </c>
      <c r="C51" s="39">
        <f t="shared" si="18"/>
        <v>12.6</v>
      </c>
      <c r="D51" s="17">
        <f t="shared" si="11"/>
        <v>249.4</v>
      </c>
      <c r="E51" s="14">
        <f t="shared" si="17"/>
        <v>10.391666666666666</v>
      </c>
      <c r="F51" s="18">
        <f t="shared" si="12"/>
        <v>9.0945391009936483</v>
      </c>
      <c r="G51" s="19">
        <f t="shared" si="13"/>
        <v>249.5</v>
      </c>
      <c r="H51" s="14">
        <f t="shared" si="14"/>
        <v>10.395833333333332</v>
      </c>
      <c r="I51" s="18">
        <f t="shared" si="15"/>
        <v>9.1091341457641057</v>
      </c>
    </row>
    <row r="52" spans="1:9" x14ac:dyDescent="0.2">
      <c r="A52" s="37">
        <v>8</v>
      </c>
      <c r="B52" s="38">
        <f t="shared" si="16"/>
        <v>4.1666666666666664E-2</v>
      </c>
      <c r="C52" s="39">
        <f t="shared" si="18"/>
        <v>11.2</v>
      </c>
      <c r="D52" s="17">
        <f t="shared" si="11"/>
        <v>250.8</v>
      </c>
      <c r="E52" s="14">
        <f t="shared" si="17"/>
        <v>10.45</v>
      </c>
      <c r="F52" s="18">
        <f t="shared" si="12"/>
        <v>9.3004727913898435</v>
      </c>
      <c r="G52" s="19">
        <f t="shared" si="13"/>
        <v>250.9</v>
      </c>
      <c r="H52" s="14">
        <f t="shared" si="14"/>
        <v>10.454166666666666</v>
      </c>
      <c r="I52" s="18">
        <f t="shared" si="15"/>
        <v>9.3153149552715995</v>
      </c>
    </row>
    <row r="53" spans="1:9" x14ac:dyDescent="0.2">
      <c r="A53" s="37">
        <v>9</v>
      </c>
      <c r="B53" s="38">
        <f t="shared" si="16"/>
        <v>4.1666666666666664E-2</v>
      </c>
      <c r="C53" s="39">
        <f t="shared" si="18"/>
        <v>9.8000000000000007</v>
      </c>
      <c r="D53" s="17">
        <f t="shared" si="11"/>
        <v>252.2</v>
      </c>
      <c r="E53" s="14">
        <f t="shared" si="17"/>
        <v>10.508333333333333</v>
      </c>
      <c r="F53" s="18">
        <f t="shared" si="12"/>
        <v>9.5098841611242637</v>
      </c>
      <c r="G53" s="19">
        <f t="shared" si="13"/>
        <v>252.29999999999998</v>
      </c>
      <c r="H53" s="14">
        <f t="shared" si="14"/>
        <v>10.512499999999999</v>
      </c>
      <c r="I53" s="18">
        <f t="shared" si="15"/>
        <v>9.5249762179248094</v>
      </c>
    </row>
    <row r="54" spans="1:9" x14ac:dyDescent="0.2">
      <c r="A54" s="37">
        <v>10</v>
      </c>
      <c r="B54" s="38">
        <f t="shared" si="16"/>
        <v>4.1666666666666664E-2</v>
      </c>
      <c r="C54" s="39">
        <f t="shared" si="18"/>
        <v>8.4</v>
      </c>
      <c r="D54" s="17">
        <f t="shared" si="11"/>
        <v>253.6</v>
      </c>
      <c r="E54" s="14">
        <f t="shared" si="17"/>
        <v>10.566666666666666</v>
      </c>
      <c r="F54" s="18">
        <f t="shared" si="12"/>
        <v>9.7228121441262321</v>
      </c>
      <c r="G54" s="19">
        <f t="shared" si="13"/>
        <v>253.7</v>
      </c>
      <c r="H54" s="14">
        <f t="shared" si="14"/>
        <v>10.570833333333333</v>
      </c>
      <c r="I54" s="18">
        <f t="shared" si="15"/>
        <v>9.7381568831337439</v>
      </c>
    </row>
    <row r="55" spans="1:9" x14ac:dyDescent="0.2">
      <c r="A55" s="37">
        <v>11</v>
      </c>
      <c r="B55" s="38">
        <f t="shared" si="16"/>
        <v>4.1666666666666664E-2</v>
      </c>
      <c r="C55" s="39">
        <f t="shared" si="18"/>
        <v>7</v>
      </c>
      <c r="D55" s="17">
        <f t="shared" si="11"/>
        <v>255</v>
      </c>
      <c r="E55" s="14">
        <f t="shared" si="17"/>
        <v>10.625</v>
      </c>
      <c r="F55" s="18">
        <f t="shared" si="12"/>
        <v>9.9392958910546874</v>
      </c>
      <c r="G55" s="19">
        <f t="shared" si="13"/>
        <v>255.1</v>
      </c>
      <c r="H55" s="14">
        <f t="shared" si="14"/>
        <v>10.629166666666666</v>
      </c>
      <c r="I55" s="18">
        <f t="shared" si="15"/>
        <v>9.954896117038027</v>
      </c>
    </row>
    <row r="56" spans="1:9" x14ac:dyDescent="0.2">
      <c r="A56" s="37">
        <v>12</v>
      </c>
      <c r="B56" s="38">
        <f t="shared" si="16"/>
        <v>4.1666666666666664E-2</v>
      </c>
      <c r="C56" s="39">
        <f t="shared" si="18"/>
        <v>5.6</v>
      </c>
      <c r="D56" s="17">
        <f t="shared" si="11"/>
        <v>256.39999999999998</v>
      </c>
      <c r="E56" s="14">
        <f t="shared" si="17"/>
        <v>10.683333333333332</v>
      </c>
      <c r="F56" s="18">
        <f t="shared" si="12"/>
        <v>10.159374769298189</v>
      </c>
      <c r="G56" s="19">
        <f t="shared" si="13"/>
        <v>256.5</v>
      </c>
      <c r="H56" s="14">
        <f t="shared" si="14"/>
        <v>10.6875</v>
      </c>
      <c r="I56" s="18">
        <f t="shared" si="15"/>
        <v>10.175233302506918</v>
      </c>
    </row>
    <row r="57" spans="1:9" x14ac:dyDescent="0.2">
      <c r="A57" s="37">
        <v>13</v>
      </c>
      <c r="B57" s="38">
        <f t="shared" si="16"/>
        <v>4.1666666666666664E-2</v>
      </c>
      <c r="C57" s="39">
        <f t="shared" si="18"/>
        <v>4.2</v>
      </c>
      <c r="D57" s="17">
        <f t="shared" si="11"/>
        <v>257.8</v>
      </c>
      <c r="E57" s="14">
        <f t="shared" si="17"/>
        <v>10.741666666666667</v>
      </c>
      <c r="F57" s="18">
        <f t="shared" si="12"/>
        <v>10.383088362974949</v>
      </c>
      <c r="G57" s="19">
        <f t="shared" si="13"/>
        <v>257.90000000000003</v>
      </c>
      <c r="H57" s="14">
        <f t="shared" si="14"/>
        <v>10.745833333333334</v>
      </c>
      <c r="I57" s="18">
        <f t="shared" si="15"/>
        <v>10.399208039139296</v>
      </c>
    </row>
    <row r="58" spans="1:9" x14ac:dyDescent="0.2">
      <c r="A58" s="37">
        <v>14</v>
      </c>
      <c r="B58" s="38">
        <f t="shared" si="16"/>
        <v>4.1666666666666664E-2</v>
      </c>
      <c r="C58" s="39">
        <f t="shared" si="18"/>
        <v>2.8</v>
      </c>
      <c r="D58" s="17">
        <f t="shared" si="11"/>
        <v>259.2</v>
      </c>
      <c r="E58" s="14">
        <f t="shared" si="17"/>
        <v>10.799999999999999</v>
      </c>
      <c r="F58" s="18">
        <f t="shared" si="12"/>
        <v>10.61047647293276</v>
      </c>
      <c r="G58" s="19">
        <f t="shared" si="13"/>
        <v>259.3</v>
      </c>
      <c r="H58" s="14">
        <f t="shared" si="14"/>
        <v>10.804166666666667</v>
      </c>
      <c r="I58" s="18">
        <f t="shared" si="15"/>
        <v>10.626860143263656</v>
      </c>
    </row>
    <row r="59" spans="1:9" x14ac:dyDescent="0.2">
      <c r="A59" s="37">
        <v>15</v>
      </c>
      <c r="B59" s="38">
        <f t="shared" si="16"/>
        <v>4.1666666666666664E-2</v>
      </c>
      <c r="C59" s="39">
        <f t="shared" si="18"/>
        <v>1.4</v>
      </c>
      <c r="D59" s="17">
        <f t="shared" si="11"/>
        <v>260.60000000000002</v>
      </c>
      <c r="E59" s="14">
        <f t="shared" si="17"/>
        <v>10.858333333333334</v>
      </c>
      <c r="F59" s="18">
        <f t="shared" si="12"/>
        <v>10.841579116749093</v>
      </c>
      <c r="G59" s="19">
        <f t="shared" si="13"/>
        <v>260.70000000000005</v>
      </c>
      <c r="H59" s="14">
        <f t="shared" si="14"/>
        <v>10.862500000000001</v>
      </c>
      <c r="I59" s="18">
        <f t="shared" si="15"/>
        <v>10.858229647938153</v>
      </c>
    </row>
    <row r="60" spans="1:9" x14ac:dyDescent="0.2">
      <c r="A60" s="37">
        <v>16</v>
      </c>
      <c r="B60" s="38">
        <f t="shared" si="16"/>
        <v>4.1666666666666664E-2</v>
      </c>
      <c r="C60" s="39">
        <f t="shared" ref="C60:C67" si="19" xml:space="preserve"> (A60 - 16) * TempRangeInDay / 14</f>
        <v>0</v>
      </c>
      <c r="D60" s="17">
        <f t="shared" si="11"/>
        <v>262</v>
      </c>
      <c r="E60" s="14">
        <f t="shared" si="17"/>
        <v>10.916666666666666</v>
      </c>
      <c r="F60" s="18">
        <f t="shared" si="12"/>
        <v>11.076436528731</v>
      </c>
      <c r="G60" s="19">
        <f t="shared" si="13"/>
        <v>262.10000000000002</v>
      </c>
      <c r="H60" s="14">
        <f t="shared" si="14"/>
        <v>10.920833333333334</v>
      </c>
      <c r="I60" s="18">
        <f t="shared" si="15"/>
        <v>11.093356802950526</v>
      </c>
    </row>
    <row r="61" spans="1:9" x14ac:dyDescent="0.2">
      <c r="A61" s="37">
        <v>17</v>
      </c>
      <c r="B61" s="38">
        <f t="shared" si="16"/>
        <v>4.1666666666666664E-2</v>
      </c>
      <c r="C61" s="39">
        <f t="shared" si="19"/>
        <v>1</v>
      </c>
      <c r="D61" s="17">
        <f t="shared" si="11"/>
        <v>261</v>
      </c>
      <c r="E61" s="14">
        <f t="shared" si="17"/>
        <v>10.875</v>
      </c>
      <c r="F61" s="18">
        <f t="shared" si="12"/>
        <v>10.908296329915688</v>
      </c>
      <c r="G61" s="19">
        <f t="shared" si="13"/>
        <v>261.10000000000002</v>
      </c>
      <c r="H61" s="14">
        <f t="shared" si="14"/>
        <v>10.879166666666666</v>
      </c>
      <c r="I61" s="18">
        <f t="shared" si="15"/>
        <v>10.925023635765807</v>
      </c>
    </row>
    <row r="62" spans="1:9" x14ac:dyDescent="0.2">
      <c r="A62" s="37">
        <v>18</v>
      </c>
      <c r="B62" s="38">
        <f t="shared" si="16"/>
        <v>4.1666666666666664E-2</v>
      </c>
      <c r="C62" s="39">
        <f t="shared" si="19"/>
        <v>2</v>
      </c>
      <c r="D62" s="17">
        <f t="shared" si="11"/>
        <v>260</v>
      </c>
      <c r="E62" s="14">
        <f t="shared" si="17"/>
        <v>10.833333333333332</v>
      </c>
      <c r="F62" s="18">
        <f t="shared" si="12"/>
        <v>10.74207771</v>
      </c>
      <c r="G62" s="19">
        <f t="shared" si="13"/>
        <v>260.10000000000002</v>
      </c>
      <c r="H62" s="14">
        <f t="shared" si="14"/>
        <v>10.8375</v>
      </c>
      <c r="I62" s="18">
        <f t="shared" si="15"/>
        <v>10.758613520233451</v>
      </c>
    </row>
    <row r="63" spans="1:9" x14ac:dyDescent="0.2">
      <c r="A63" s="37">
        <v>19</v>
      </c>
      <c r="B63" s="38">
        <f t="shared" si="16"/>
        <v>4.1666666666666664E-2</v>
      </c>
      <c r="C63" s="39">
        <f t="shared" si="19"/>
        <v>3</v>
      </c>
      <c r="D63" s="17">
        <f t="shared" si="11"/>
        <v>259</v>
      </c>
      <c r="E63" s="14">
        <f t="shared" si="17"/>
        <v>10.791666666666666</v>
      </c>
      <c r="F63" s="18">
        <f t="shared" si="12"/>
        <v>10.577765972485688</v>
      </c>
      <c r="G63" s="19">
        <f t="shared" si="13"/>
        <v>259.10000000000002</v>
      </c>
      <c r="H63" s="14">
        <f t="shared" si="14"/>
        <v>10.795833333333334</v>
      </c>
      <c r="I63" s="18">
        <f t="shared" si="15"/>
        <v>10.594111754213554</v>
      </c>
    </row>
    <row r="64" spans="1:9" x14ac:dyDescent="0.2">
      <c r="A64" s="37">
        <v>20</v>
      </c>
      <c r="B64" s="38">
        <f t="shared" si="16"/>
        <v>4.1666666666666664E-2</v>
      </c>
      <c r="C64" s="39">
        <f t="shared" si="19"/>
        <v>4</v>
      </c>
      <c r="D64" s="17">
        <f t="shared" si="11"/>
        <v>258</v>
      </c>
      <c r="E64" s="14">
        <f t="shared" si="17"/>
        <v>10.75</v>
      </c>
      <c r="F64" s="18">
        <f t="shared" si="12"/>
        <v>10.415346477290999</v>
      </c>
      <c r="G64" s="19">
        <f t="shared" si="13"/>
        <v>258.10000000000002</v>
      </c>
      <c r="H64" s="14">
        <f t="shared" si="14"/>
        <v>10.754166666666666</v>
      </c>
      <c r="I64" s="18">
        <f t="shared" si="15"/>
        <v>10.431503691982714</v>
      </c>
    </row>
    <row r="65" spans="1:14" x14ac:dyDescent="0.2">
      <c r="A65" s="37">
        <v>21</v>
      </c>
      <c r="B65" s="38">
        <f t="shared" si="16"/>
        <v>4.1666666666666664E-2</v>
      </c>
      <c r="C65" s="39">
        <f t="shared" si="19"/>
        <v>5</v>
      </c>
      <c r="D65" s="17">
        <f t="shared" si="11"/>
        <v>257</v>
      </c>
      <c r="E65" s="14">
        <f t="shared" si="17"/>
        <v>10.708333333333332</v>
      </c>
      <c r="F65" s="18">
        <f t="shared" si="12"/>
        <v>10.254804640750686</v>
      </c>
      <c r="G65" s="19">
        <f t="shared" si="13"/>
        <v>257.10000000000002</v>
      </c>
      <c r="H65" s="14">
        <f t="shared" si="14"/>
        <v>10.7125</v>
      </c>
      <c r="I65" s="18">
        <f t="shared" si="15"/>
        <v>10.27077474423403</v>
      </c>
    </row>
    <row r="66" spans="1:14" x14ac:dyDescent="0.2">
      <c r="A66" s="37">
        <v>22</v>
      </c>
      <c r="B66" s="38">
        <f t="shared" si="16"/>
        <v>4.1666666666666664E-2</v>
      </c>
      <c r="C66" s="39">
        <f t="shared" si="19"/>
        <v>6</v>
      </c>
      <c r="D66" s="17">
        <f t="shared" si="11"/>
        <v>256</v>
      </c>
      <c r="E66" s="14">
        <f t="shared" si="17"/>
        <v>10.666666666666666</v>
      </c>
      <c r="F66" s="18">
        <f t="shared" si="12"/>
        <v>10.096125935616</v>
      </c>
      <c r="G66" s="19">
        <f t="shared" si="13"/>
        <v>256.10000000000002</v>
      </c>
      <c r="H66" s="14">
        <f t="shared" si="14"/>
        <v>10.670833333333334</v>
      </c>
      <c r="I66" s="18">
        <f t="shared" si="15"/>
        <v>10.1119103780771</v>
      </c>
    </row>
    <row r="67" spans="1:14" x14ac:dyDescent="0.2">
      <c r="A67" s="37">
        <v>23</v>
      </c>
      <c r="B67" s="38">
        <f t="shared" si="16"/>
        <v>4.1666666666666664E-2</v>
      </c>
      <c r="C67" s="39">
        <f t="shared" si="19"/>
        <v>7</v>
      </c>
      <c r="D67" s="17">
        <f t="shared" si="11"/>
        <v>255</v>
      </c>
      <c r="E67" s="14">
        <f t="shared" si="17"/>
        <v>10.625</v>
      </c>
      <c r="F67" s="18">
        <f t="shared" si="12"/>
        <v>9.9392958910546874</v>
      </c>
      <c r="G67" s="19">
        <f t="shared" si="13"/>
        <v>255.1</v>
      </c>
      <c r="H67" s="14">
        <f t="shared" si="14"/>
        <v>10.629166666666666</v>
      </c>
      <c r="I67" s="18">
        <f t="shared" si="15"/>
        <v>9.954896117038027</v>
      </c>
    </row>
    <row r="68" spans="1:14" x14ac:dyDescent="0.2">
      <c r="A68" s="23" t="s">
        <v>21</v>
      </c>
      <c r="B68" s="40">
        <f xml:space="preserve"> SUM(B44:B67)</f>
        <v>0.99999999999999956</v>
      </c>
      <c r="C68" s="25"/>
      <c r="D68" s="26"/>
      <c r="E68" s="27">
        <f xml:space="preserve"> SUM(E44:E67)</f>
        <v>255.00000000000003</v>
      </c>
      <c r="F68" s="28">
        <f xml:space="preserve"> SUM(F44:F67)</f>
        <v>238.90777696396842</v>
      </c>
      <c r="G68" s="29"/>
      <c r="H68" s="27">
        <f xml:space="preserve"> SUM(H44:H67)</f>
        <v>255.09999999999997</v>
      </c>
      <c r="I68" s="28">
        <f xml:space="preserve"> SUM(I44:I67)</f>
        <v>239.28246844145178</v>
      </c>
    </row>
    <row r="69" spans="1:14" x14ac:dyDescent="0.2">
      <c r="E69" s="31" t="s">
        <v>72</v>
      </c>
      <c r="F69" s="28">
        <f xml:space="preserve"> (F68 / sigmaEpsilon)^0.25</f>
        <v>255.09740274228409</v>
      </c>
      <c r="H69" s="31" t="s">
        <v>71</v>
      </c>
      <c r="I69" s="28">
        <f xml:space="preserve"> (I68 / sigmaEpsilon)^0.25</f>
        <v>255.19736459786833</v>
      </c>
    </row>
    <row r="70" spans="1:14" x14ac:dyDescent="0.2">
      <c r="K70" s="60" t="s">
        <v>74</v>
      </c>
    </row>
    <row r="71" spans="1:14" ht="12" customHeight="1" x14ac:dyDescent="0.2">
      <c r="A71" s="50" t="s">
        <v>198</v>
      </c>
      <c r="B71" s="51">
        <f>H68 - E68</f>
        <v>9.9999999999937472E-2</v>
      </c>
      <c r="C71" s="9" t="s">
        <v>18</v>
      </c>
      <c r="E71" s="32"/>
      <c r="F71" s="33"/>
      <c r="G71" s="34" t="s">
        <v>73</v>
      </c>
      <c r="H71" s="59">
        <f xml:space="preserve"> F69 / (4 * F68)</f>
        <v>0.26694129214215301</v>
      </c>
      <c r="I71" s="9" t="s">
        <v>64</v>
      </c>
      <c r="K71" s="61"/>
      <c r="L71" s="35" t="s">
        <v>68</v>
      </c>
      <c r="M71" s="51">
        <f xml:space="preserve"> 100 * (H72 - H71) / H71</f>
        <v>-5.8759449419939727E-2</v>
      </c>
      <c r="N71" s="9" t="s">
        <v>23</v>
      </c>
    </row>
    <row r="72" spans="1:14" ht="12" customHeight="1" x14ac:dyDescent="0.2">
      <c r="A72" s="50" t="s">
        <v>199</v>
      </c>
      <c r="B72" s="51">
        <f xml:space="preserve"> I68 - F68</f>
        <v>0.37469147748336695</v>
      </c>
      <c r="C72" s="9" t="s">
        <v>19</v>
      </c>
      <c r="E72" s="32"/>
      <c r="F72" s="33"/>
      <c r="G72" s="34" t="s">
        <v>201</v>
      </c>
      <c r="H72" s="59">
        <f xml:space="preserve"> B73 / B72</f>
        <v>0.26678443890861581</v>
      </c>
      <c r="I72" s="9" t="s">
        <v>64</v>
      </c>
      <c r="K72" s="61"/>
      <c r="L72" s="35" t="s">
        <v>69</v>
      </c>
      <c r="M72" s="36">
        <f xml:space="preserve"> 100 * (H73 - H72) / H71</f>
        <v>3.813654921241063E-2</v>
      </c>
      <c r="N72" s="9" t="s">
        <v>23</v>
      </c>
    </row>
    <row r="73" spans="1:14" ht="12" customHeight="1" x14ac:dyDescent="0.2">
      <c r="A73" s="50" t="s">
        <v>200</v>
      </c>
      <c r="B73" s="51">
        <f xml:space="preserve"> I69 - F69</f>
        <v>9.9961855584240311E-2</v>
      </c>
      <c r="C73" s="9" t="s">
        <v>18</v>
      </c>
      <c r="E73" s="56"/>
      <c r="F73" s="57"/>
      <c r="G73" s="58" t="s">
        <v>202</v>
      </c>
      <c r="H73" s="59">
        <f xml:space="preserve"> B71 / B72</f>
        <v>0.26688624110586184</v>
      </c>
      <c r="I73" s="9" t="s">
        <v>64</v>
      </c>
      <c r="K73" s="61"/>
      <c r="L73" s="35" t="s">
        <v>70</v>
      </c>
      <c r="M73" s="51">
        <f xml:space="preserve"> 100 * (H73 - H71) / H71</f>
        <v>-2.0622900207529098E-2</v>
      </c>
      <c r="N73" s="9" t="s">
        <v>23</v>
      </c>
    </row>
    <row r="74" spans="1:14" ht="12" customHeight="1" x14ac:dyDescent="0.2">
      <c r="E74" s="56"/>
      <c r="F74" s="57"/>
      <c r="G74" s="58" t="s">
        <v>203</v>
      </c>
      <c r="H74" s="59">
        <f xml:space="preserve"> B71 / B73</f>
        <v>1.000381589712138</v>
      </c>
      <c r="I74" s="9">
        <v>1</v>
      </c>
    </row>
    <row r="75" spans="1:14" ht="12" customHeight="1" x14ac:dyDescent="0.2">
      <c r="E75" s="29"/>
      <c r="F75" s="29"/>
      <c r="G75" s="29"/>
    </row>
    <row r="76" spans="1:14" ht="23.25" x14ac:dyDescent="0.2">
      <c r="A76" s="7" t="s">
        <v>29</v>
      </c>
    </row>
    <row r="77" spans="1:14" x14ac:dyDescent="0.2">
      <c r="A77" s="3" t="s">
        <v>88</v>
      </c>
      <c r="B77" s="3"/>
      <c r="C77" s="8">
        <v>240.9</v>
      </c>
      <c r="D77" s="5" t="s">
        <v>3</v>
      </c>
    </row>
    <row r="78" spans="1:14" x14ac:dyDescent="0.2">
      <c r="A78" s="3" t="s">
        <v>8</v>
      </c>
      <c r="B78" s="3"/>
      <c r="C78" s="141">
        <v>1E-3</v>
      </c>
      <c r="D78" s="5" t="s">
        <v>3</v>
      </c>
    </row>
    <row r="80" spans="1:14" ht="36" x14ac:dyDescent="0.2">
      <c r="A80" s="9" t="s">
        <v>30</v>
      </c>
      <c r="B80" s="9" t="s">
        <v>10</v>
      </c>
      <c r="C80" s="10" t="s">
        <v>31</v>
      </c>
      <c r="D80" s="11" t="s">
        <v>12</v>
      </c>
      <c r="E80" s="9" t="s">
        <v>13</v>
      </c>
      <c r="F80" s="12" t="s">
        <v>14</v>
      </c>
      <c r="G80" s="13" t="s">
        <v>204</v>
      </c>
      <c r="H80" s="9" t="s">
        <v>205</v>
      </c>
      <c r="I80" s="12" t="s">
        <v>206</v>
      </c>
    </row>
    <row r="81" spans="1:9" ht="12" customHeight="1" x14ac:dyDescent="0.2">
      <c r="A81" s="9"/>
      <c r="B81" s="9"/>
      <c r="C81" s="10" t="s">
        <v>17</v>
      </c>
      <c r="D81" s="11" t="s">
        <v>18</v>
      </c>
      <c r="E81" s="9" t="s">
        <v>18</v>
      </c>
      <c r="F81" s="12" t="s">
        <v>19</v>
      </c>
      <c r="G81" s="13" t="s">
        <v>18</v>
      </c>
      <c r="H81" s="9" t="s">
        <v>3</v>
      </c>
      <c r="I81" s="12" t="s">
        <v>19</v>
      </c>
    </row>
    <row r="82" spans="1:9" x14ac:dyDescent="0.2">
      <c r="A82" s="41" t="s">
        <v>32</v>
      </c>
      <c r="B82" s="38">
        <f xml:space="preserve"> 1 / 24</f>
        <v>4.1666666666666664E-2</v>
      </c>
      <c r="C82" s="39">
        <v>8</v>
      </c>
      <c r="D82" s="17">
        <f t="shared" ref="D82:D105" si="20" xml:space="preserve"> TempSeason + C82</f>
        <v>248.9</v>
      </c>
      <c r="E82" s="14">
        <f xml:space="preserve"> B82 * D82</f>
        <v>10.370833333333334</v>
      </c>
      <c r="F82" s="18">
        <f t="shared" ref="F82:F105" si="21" xml:space="preserve"> B82 * sigmaEpsilon * D82^4</f>
        <v>9.0218267803797065</v>
      </c>
      <c r="G82" s="19">
        <f t="shared" ref="G82:G105" si="22">D82 + temperatureIncrSeason</f>
        <v>248.90100000000001</v>
      </c>
      <c r="H82" s="14">
        <f t="shared" ref="H82:H105" si="23" xml:space="preserve"> B82 * G82</f>
        <v>10.370875</v>
      </c>
      <c r="I82" s="18">
        <f t="shared" ref="I82:I105" si="24" xml:space="preserve"> B82 * sigmaEpsilon * G82^4</f>
        <v>9.0219717684255176</v>
      </c>
    </row>
    <row r="83" spans="1:9" x14ac:dyDescent="0.2">
      <c r="A83" s="41" t="s">
        <v>33</v>
      </c>
      <c r="B83" s="38">
        <f t="shared" ref="B83:B105" si="25" xml:space="preserve"> 1 / 24</f>
        <v>4.1666666666666664E-2</v>
      </c>
      <c r="C83" s="39">
        <v>8.4</v>
      </c>
      <c r="D83" s="17">
        <f t="shared" si="20"/>
        <v>249.3</v>
      </c>
      <c r="E83" s="14">
        <f t="shared" ref="E83:E105" si="26" xml:space="preserve"> B83 * D83</f>
        <v>10.387499999999999</v>
      </c>
      <c r="F83" s="18">
        <f t="shared" si="21"/>
        <v>9.0799616018567146</v>
      </c>
      <c r="G83" s="19">
        <f t="shared" si="22"/>
        <v>249.30100000000002</v>
      </c>
      <c r="H83" s="14">
        <f t="shared" si="23"/>
        <v>10.387541666666667</v>
      </c>
      <c r="I83" s="18">
        <f t="shared" si="24"/>
        <v>9.0801072900433919</v>
      </c>
    </row>
    <row r="84" spans="1:9" x14ac:dyDescent="0.2">
      <c r="A84" s="41" t="s">
        <v>34</v>
      </c>
      <c r="B84" s="38">
        <f t="shared" si="25"/>
        <v>4.1666666666666664E-2</v>
      </c>
      <c r="C84" s="39">
        <v>10.7</v>
      </c>
      <c r="D84" s="17">
        <f t="shared" si="20"/>
        <v>251.6</v>
      </c>
      <c r="E84" s="14">
        <f t="shared" si="26"/>
        <v>10.483333333333333</v>
      </c>
      <c r="F84" s="18">
        <f t="shared" si="21"/>
        <v>9.4197081006964645</v>
      </c>
      <c r="G84" s="19">
        <f t="shared" si="22"/>
        <v>251.601</v>
      </c>
      <c r="H84" s="14">
        <f t="shared" si="23"/>
        <v>10.483374999999999</v>
      </c>
      <c r="I84" s="18">
        <f t="shared" si="24"/>
        <v>9.4198578584748365</v>
      </c>
    </row>
    <row r="85" spans="1:9" x14ac:dyDescent="0.2">
      <c r="A85" s="41" t="s">
        <v>35</v>
      </c>
      <c r="B85" s="38">
        <f t="shared" si="25"/>
        <v>4.1666666666666664E-2</v>
      </c>
      <c r="C85" s="39">
        <v>13.9</v>
      </c>
      <c r="D85" s="17">
        <f t="shared" si="20"/>
        <v>254.8</v>
      </c>
      <c r="E85" s="14">
        <f t="shared" si="26"/>
        <v>10.616666666666667</v>
      </c>
      <c r="F85" s="18">
        <f t="shared" si="21"/>
        <v>9.9081504519497159</v>
      </c>
      <c r="G85" s="19">
        <f t="shared" si="22"/>
        <v>254.80100000000002</v>
      </c>
      <c r="H85" s="14">
        <f t="shared" si="23"/>
        <v>10.616708333333333</v>
      </c>
      <c r="I85" s="18">
        <f t="shared" si="24"/>
        <v>9.9083059968285383</v>
      </c>
    </row>
    <row r="86" spans="1:9" x14ac:dyDescent="0.2">
      <c r="A86" s="41" t="s">
        <v>36</v>
      </c>
      <c r="B86" s="38">
        <f t="shared" si="25"/>
        <v>4.1666666666666664E-2</v>
      </c>
      <c r="C86" s="39">
        <v>17.2</v>
      </c>
      <c r="D86" s="17">
        <f t="shared" si="20"/>
        <v>258.10000000000002</v>
      </c>
      <c r="E86" s="14">
        <f t="shared" si="26"/>
        <v>10.754166666666666</v>
      </c>
      <c r="F86" s="18">
        <f t="shared" si="21"/>
        <v>10.431503691982714</v>
      </c>
      <c r="G86" s="19">
        <f t="shared" si="22"/>
        <v>258.101</v>
      </c>
      <c r="H86" s="14">
        <f t="shared" si="23"/>
        <v>10.754208333333333</v>
      </c>
      <c r="I86" s="18">
        <f t="shared" si="24"/>
        <v>10.431665359000409</v>
      </c>
    </row>
    <row r="87" spans="1:9" x14ac:dyDescent="0.2">
      <c r="A87" s="41" t="s">
        <v>37</v>
      </c>
      <c r="B87" s="38">
        <f t="shared" si="25"/>
        <v>4.1666666666666664E-2</v>
      </c>
      <c r="C87" s="39">
        <v>19.7</v>
      </c>
      <c r="D87" s="17">
        <f t="shared" si="20"/>
        <v>260.60000000000002</v>
      </c>
      <c r="E87" s="14">
        <f t="shared" si="26"/>
        <v>10.858333333333334</v>
      </c>
      <c r="F87" s="18">
        <f t="shared" si="21"/>
        <v>10.841579116749093</v>
      </c>
      <c r="G87" s="19">
        <f t="shared" si="22"/>
        <v>260.601</v>
      </c>
      <c r="H87" s="14">
        <f t="shared" si="23"/>
        <v>10.858374999999999</v>
      </c>
      <c r="I87" s="18">
        <f t="shared" si="24"/>
        <v>10.841745527209879</v>
      </c>
    </row>
    <row r="88" spans="1:9" x14ac:dyDescent="0.2">
      <c r="A88" s="41" t="s">
        <v>38</v>
      </c>
      <c r="B88" s="38">
        <f t="shared" si="25"/>
        <v>4.1666666666666664E-2</v>
      </c>
      <c r="C88" s="39">
        <v>21</v>
      </c>
      <c r="D88" s="17">
        <f t="shared" si="20"/>
        <v>261.89999999999998</v>
      </c>
      <c r="E88" s="14">
        <f t="shared" si="26"/>
        <v>10.912499999999998</v>
      </c>
      <c r="F88" s="18">
        <f t="shared" si="21"/>
        <v>11.059535617783075</v>
      </c>
      <c r="G88" s="19">
        <f t="shared" si="22"/>
        <v>261.90099999999995</v>
      </c>
      <c r="H88" s="14">
        <f t="shared" si="23"/>
        <v>10.912541666666664</v>
      </c>
      <c r="I88" s="18">
        <f t="shared" si="24"/>
        <v>11.059704531092883</v>
      </c>
    </row>
    <row r="89" spans="1:9" x14ac:dyDescent="0.2">
      <c r="A89" s="41" t="s">
        <v>39</v>
      </c>
      <c r="B89" s="38">
        <f t="shared" si="25"/>
        <v>4.1666666666666664E-2</v>
      </c>
      <c r="C89" s="39">
        <v>20.9</v>
      </c>
      <c r="D89" s="17">
        <f t="shared" si="20"/>
        <v>261.8</v>
      </c>
      <c r="E89" s="14">
        <f t="shared" si="26"/>
        <v>10.908333333333333</v>
      </c>
      <c r="F89" s="18">
        <f t="shared" si="21"/>
        <v>11.042654055328457</v>
      </c>
      <c r="G89" s="19">
        <f t="shared" si="22"/>
        <v>261.80099999999999</v>
      </c>
      <c r="H89" s="14">
        <f t="shared" si="23"/>
        <v>10.908374999999999</v>
      </c>
      <c r="I89" s="18">
        <f t="shared" si="24"/>
        <v>11.042822775226472</v>
      </c>
    </row>
    <row r="90" spans="1:9" x14ac:dyDescent="0.2">
      <c r="A90" s="41" t="s">
        <v>40</v>
      </c>
      <c r="B90" s="38">
        <f t="shared" si="25"/>
        <v>4.1666666666666664E-2</v>
      </c>
      <c r="C90" s="39">
        <v>19</v>
      </c>
      <c r="D90" s="17">
        <f t="shared" si="20"/>
        <v>259.89999999999998</v>
      </c>
      <c r="E90" s="14">
        <f t="shared" si="26"/>
        <v>10.829166666666666</v>
      </c>
      <c r="F90" s="18">
        <f t="shared" si="21"/>
        <v>10.725560968544018</v>
      </c>
      <c r="G90" s="19">
        <f t="shared" si="22"/>
        <v>259.90099999999995</v>
      </c>
      <c r="H90" s="14">
        <f t="shared" si="23"/>
        <v>10.82920833333333</v>
      </c>
      <c r="I90" s="18">
        <f t="shared" si="24"/>
        <v>10.725726041616284</v>
      </c>
    </row>
    <row r="91" spans="1:9" x14ac:dyDescent="0.2">
      <c r="A91" s="41" t="s">
        <v>41</v>
      </c>
      <c r="B91" s="38">
        <f t="shared" si="25"/>
        <v>4.1666666666666664E-2</v>
      </c>
      <c r="C91" s="39">
        <v>15.8</v>
      </c>
      <c r="D91" s="17">
        <f t="shared" si="20"/>
        <v>256.7</v>
      </c>
      <c r="E91" s="14">
        <f t="shared" si="26"/>
        <v>10.695833333333333</v>
      </c>
      <c r="F91" s="18">
        <f t="shared" si="21"/>
        <v>10.207006059926512</v>
      </c>
      <c r="G91" s="19">
        <f t="shared" si="22"/>
        <v>256.70099999999996</v>
      </c>
      <c r="H91" s="14">
        <f t="shared" si="23"/>
        <v>10.695874999999997</v>
      </c>
      <c r="I91" s="18">
        <f t="shared" si="24"/>
        <v>10.207165110424423</v>
      </c>
    </row>
    <row r="92" spans="1:9" x14ac:dyDescent="0.2">
      <c r="A92" s="41" t="s">
        <v>42</v>
      </c>
      <c r="B92" s="38">
        <f t="shared" si="25"/>
        <v>4.1666666666666664E-2</v>
      </c>
      <c r="C92" s="39">
        <v>12</v>
      </c>
      <c r="D92" s="17">
        <f t="shared" si="20"/>
        <v>252.9</v>
      </c>
      <c r="E92" s="14">
        <f t="shared" si="26"/>
        <v>10.5375</v>
      </c>
      <c r="F92" s="18">
        <f t="shared" si="21"/>
        <v>9.6159061341302241</v>
      </c>
      <c r="G92" s="19">
        <f t="shared" si="22"/>
        <v>252.90100000000001</v>
      </c>
      <c r="H92" s="14">
        <f t="shared" si="23"/>
        <v>10.537541666666666</v>
      </c>
      <c r="I92" s="18">
        <f t="shared" si="24"/>
        <v>9.6160582252835347</v>
      </c>
    </row>
    <row r="93" spans="1:9" x14ac:dyDescent="0.2">
      <c r="A93" s="41" t="s">
        <v>43</v>
      </c>
      <c r="B93" s="38">
        <f t="shared" si="25"/>
        <v>4.1666666666666664E-2</v>
      </c>
      <c r="C93" s="39">
        <v>9.1999999999999993</v>
      </c>
      <c r="D93" s="17">
        <f t="shared" si="20"/>
        <v>250.1</v>
      </c>
      <c r="E93" s="14">
        <f t="shared" si="26"/>
        <v>10.420833333333333</v>
      </c>
      <c r="F93" s="18">
        <f t="shared" si="21"/>
        <v>9.1970736611790453</v>
      </c>
      <c r="G93" s="19">
        <f t="shared" si="22"/>
        <v>250.101</v>
      </c>
      <c r="H93" s="14">
        <f t="shared" si="23"/>
        <v>10.420874999999999</v>
      </c>
      <c r="I93" s="18">
        <f t="shared" si="24"/>
        <v>9.1972207564021033</v>
      </c>
    </row>
    <row r="94" spans="1:9" x14ac:dyDescent="0.2">
      <c r="A94" s="41" t="s">
        <v>44</v>
      </c>
      <c r="B94" s="38">
        <f t="shared" si="25"/>
        <v>4.1666666666666664E-2</v>
      </c>
      <c r="C94" s="39">
        <v>16.399999999999999</v>
      </c>
      <c r="D94" s="17">
        <f t="shared" si="20"/>
        <v>257.3</v>
      </c>
      <c r="E94" s="14">
        <f t="shared" si="26"/>
        <v>10.720833333333333</v>
      </c>
      <c r="F94" s="18">
        <f t="shared" si="21"/>
        <v>10.302770903016329</v>
      </c>
      <c r="G94" s="19">
        <f t="shared" si="22"/>
        <v>257.30099999999999</v>
      </c>
      <c r="H94" s="14">
        <f t="shared" si="23"/>
        <v>10.720874999999999</v>
      </c>
      <c r="I94" s="18">
        <f t="shared" si="24"/>
        <v>10.30293107139512</v>
      </c>
    </row>
    <row r="95" spans="1:9" x14ac:dyDescent="0.2">
      <c r="A95" s="41" t="s">
        <v>45</v>
      </c>
      <c r="B95" s="38">
        <f t="shared" si="25"/>
        <v>4.1666666666666664E-2</v>
      </c>
      <c r="C95" s="39">
        <v>16.2</v>
      </c>
      <c r="D95" s="17">
        <f t="shared" si="20"/>
        <v>257.10000000000002</v>
      </c>
      <c r="E95" s="14">
        <f t="shared" si="26"/>
        <v>10.7125</v>
      </c>
      <c r="F95" s="18">
        <f t="shared" si="21"/>
        <v>10.27077474423403</v>
      </c>
      <c r="G95" s="19">
        <f t="shared" si="22"/>
        <v>257.101</v>
      </c>
      <c r="H95" s="14">
        <f t="shared" si="23"/>
        <v>10.712541666666667</v>
      </c>
      <c r="I95" s="18">
        <f t="shared" si="24"/>
        <v>10.270934539405824</v>
      </c>
    </row>
    <row r="96" spans="1:9" x14ac:dyDescent="0.2">
      <c r="A96" s="41" t="s">
        <v>46</v>
      </c>
      <c r="B96" s="38">
        <f t="shared" si="25"/>
        <v>4.1666666666666664E-2</v>
      </c>
      <c r="C96" s="39">
        <v>15.3</v>
      </c>
      <c r="D96" s="17">
        <f t="shared" si="20"/>
        <v>256.2</v>
      </c>
      <c r="E96" s="14">
        <f t="shared" si="26"/>
        <v>10.674999999999999</v>
      </c>
      <c r="F96" s="18">
        <f t="shared" si="21"/>
        <v>10.127713321542828</v>
      </c>
      <c r="G96" s="19">
        <f t="shared" si="22"/>
        <v>256.20099999999996</v>
      </c>
      <c r="H96" s="14">
        <f t="shared" si="23"/>
        <v>10.675041666666665</v>
      </c>
      <c r="I96" s="18">
        <f t="shared" si="24"/>
        <v>10.127871444456451</v>
      </c>
    </row>
    <row r="97" spans="1:14" x14ac:dyDescent="0.2">
      <c r="A97" s="41" t="s">
        <v>47</v>
      </c>
      <c r="B97" s="38">
        <f t="shared" si="25"/>
        <v>4.1666666666666664E-2</v>
      </c>
      <c r="C97" s="39">
        <v>14</v>
      </c>
      <c r="D97" s="17">
        <f t="shared" si="20"/>
        <v>254.9</v>
      </c>
      <c r="E97" s="14">
        <f t="shared" si="26"/>
        <v>10.620833333333334</v>
      </c>
      <c r="F97" s="18">
        <f t="shared" si="21"/>
        <v>9.9237140074863781</v>
      </c>
      <c r="G97" s="19">
        <f t="shared" si="22"/>
        <v>254.90100000000001</v>
      </c>
      <c r="H97" s="14">
        <f t="shared" si="23"/>
        <v>10.620875</v>
      </c>
      <c r="I97" s="18">
        <f t="shared" si="24"/>
        <v>9.923869735574339</v>
      </c>
    </row>
    <row r="98" spans="1:14" x14ac:dyDescent="0.2">
      <c r="A98" s="41" t="s">
        <v>48</v>
      </c>
      <c r="B98" s="38">
        <f t="shared" si="25"/>
        <v>4.1666666666666664E-2</v>
      </c>
      <c r="C98" s="39">
        <v>13.8</v>
      </c>
      <c r="D98" s="17">
        <f t="shared" si="20"/>
        <v>254.70000000000002</v>
      </c>
      <c r="E98" s="14">
        <f t="shared" si="26"/>
        <v>10.612500000000001</v>
      </c>
      <c r="F98" s="18">
        <f t="shared" si="21"/>
        <v>9.8926052100669537</v>
      </c>
      <c r="G98" s="19">
        <f t="shared" si="22"/>
        <v>254.70100000000002</v>
      </c>
      <c r="H98" s="14">
        <f t="shared" si="23"/>
        <v>10.612541666666667</v>
      </c>
      <c r="I98" s="18">
        <f t="shared" si="24"/>
        <v>9.892760571880391</v>
      </c>
    </row>
    <row r="99" spans="1:14" x14ac:dyDescent="0.2">
      <c r="A99" s="41" t="s">
        <v>49</v>
      </c>
      <c r="B99" s="38">
        <f t="shared" si="25"/>
        <v>4.1666666666666664E-2</v>
      </c>
      <c r="C99" s="39">
        <v>11.7</v>
      </c>
      <c r="D99" s="17">
        <f t="shared" si="20"/>
        <v>252.6</v>
      </c>
      <c r="E99" s="14">
        <f t="shared" si="26"/>
        <v>10.524999999999999</v>
      </c>
      <c r="F99" s="18">
        <f t="shared" si="21"/>
        <v>9.5703601815417745</v>
      </c>
      <c r="G99" s="19">
        <f t="shared" si="22"/>
        <v>252.601</v>
      </c>
      <c r="H99" s="14">
        <f t="shared" si="23"/>
        <v>10.525041666666667</v>
      </c>
      <c r="I99" s="18">
        <f t="shared" si="24"/>
        <v>9.5705117320882973</v>
      </c>
    </row>
    <row r="100" spans="1:14" x14ac:dyDescent="0.2">
      <c r="A100" s="41" t="s">
        <v>50</v>
      </c>
      <c r="B100" s="38">
        <f t="shared" si="25"/>
        <v>4.1666666666666664E-2</v>
      </c>
      <c r="C100" s="39">
        <v>10.8</v>
      </c>
      <c r="D100" s="17">
        <f t="shared" si="20"/>
        <v>251.70000000000002</v>
      </c>
      <c r="E100" s="14">
        <f t="shared" si="26"/>
        <v>10.487500000000001</v>
      </c>
      <c r="F100" s="18">
        <f t="shared" si="21"/>
        <v>9.4346927198889912</v>
      </c>
      <c r="G100" s="19">
        <f t="shared" si="22"/>
        <v>251.70100000000002</v>
      </c>
      <c r="H100" s="14">
        <f t="shared" si="23"/>
        <v>10.487541666666667</v>
      </c>
      <c r="I100" s="18">
        <f t="shared" si="24"/>
        <v>9.4348426563045003</v>
      </c>
    </row>
    <row r="101" spans="1:14" x14ac:dyDescent="0.2">
      <c r="A101" s="41" t="s">
        <v>51</v>
      </c>
      <c r="B101" s="38">
        <f t="shared" si="25"/>
        <v>4.1666666666666664E-2</v>
      </c>
      <c r="C101" s="39">
        <v>10.7</v>
      </c>
      <c r="D101" s="17">
        <f t="shared" si="20"/>
        <v>251.6</v>
      </c>
      <c r="E101" s="14">
        <f t="shared" si="26"/>
        <v>10.483333333333333</v>
      </c>
      <c r="F101" s="18">
        <f t="shared" si="21"/>
        <v>9.4197081006964645</v>
      </c>
      <c r="G101" s="19">
        <f t="shared" si="22"/>
        <v>251.601</v>
      </c>
      <c r="H101" s="14">
        <f t="shared" si="23"/>
        <v>10.483374999999999</v>
      </c>
      <c r="I101" s="18">
        <f t="shared" si="24"/>
        <v>9.4198578584748365</v>
      </c>
    </row>
    <row r="102" spans="1:14" x14ac:dyDescent="0.2">
      <c r="A102" s="41" t="s">
        <v>52</v>
      </c>
      <c r="B102" s="38">
        <f t="shared" si="25"/>
        <v>4.1666666666666664E-2</v>
      </c>
      <c r="C102" s="39">
        <v>11.2</v>
      </c>
      <c r="D102" s="17">
        <f t="shared" si="20"/>
        <v>252.1</v>
      </c>
      <c r="E102" s="14">
        <f t="shared" si="26"/>
        <v>10.504166666666666</v>
      </c>
      <c r="F102" s="18">
        <f t="shared" si="21"/>
        <v>9.4948100461364664</v>
      </c>
      <c r="G102" s="19">
        <f t="shared" si="22"/>
        <v>252.101</v>
      </c>
      <c r="H102" s="14">
        <f t="shared" si="23"/>
        <v>10.504208333333333</v>
      </c>
      <c r="I102" s="18">
        <f t="shared" si="24"/>
        <v>9.4949606985210853</v>
      </c>
    </row>
    <row r="103" spans="1:14" x14ac:dyDescent="0.2">
      <c r="A103" s="41" t="s">
        <v>53</v>
      </c>
      <c r="B103" s="38">
        <f t="shared" si="25"/>
        <v>4.1666666666666664E-2</v>
      </c>
      <c r="C103" s="39">
        <v>12.4</v>
      </c>
      <c r="D103" s="17">
        <f t="shared" si="20"/>
        <v>253.3</v>
      </c>
      <c r="E103" s="14">
        <f t="shared" si="26"/>
        <v>10.554166666666667</v>
      </c>
      <c r="F103" s="18">
        <f t="shared" si="21"/>
        <v>9.6768867192577819</v>
      </c>
      <c r="G103" s="19">
        <f t="shared" si="22"/>
        <v>253.30100000000002</v>
      </c>
      <c r="H103" s="14">
        <f t="shared" si="23"/>
        <v>10.554208333333333</v>
      </c>
      <c r="I103" s="18">
        <f t="shared" si="24"/>
        <v>9.6770395332178971</v>
      </c>
    </row>
    <row r="104" spans="1:14" x14ac:dyDescent="0.2">
      <c r="A104" s="41" t="s">
        <v>54</v>
      </c>
      <c r="B104" s="38">
        <f t="shared" si="25"/>
        <v>4.1666666666666664E-2</v>
      </c>
      <c r="C104" s="39">
        <v>14.1</v>
      </c>
      <c r="D104" s="17">
        <f t="shared" si="20"/>
        <v>255</v>
      </c>
      <c r="E104" s="14">
        <f t="shared" si="26"/>
        <v>10.625</v>
      </c>
      <c r="F104" s="18">
        <f t="shared" si="21"/>
        <v>9.9392958910546874</v>
      </c>
      <c r="G104" s="19">
        <f t="shared" si="22"/>
        <v>255.001</v>
      </c>
      <c r="H104" s="14">
        <f t="shared" si="23"/>
        <v>10.625041666666666</v>
      </c>
      <c r="I104" s="18">
        <f t="shared" si="24"/>
        <v>9.9394518024955918</v>
      </c>
    </row>
    <row r="105" spans="1:14" x14ac:dyDescent="0.2">
      <c r="A105" s="41" t="s">
        <v>55</v>
      </c>
      <c r="B105" s="38">
        <f t="shared" si="25"/>
        <v>4.1666666666666664E-2</v>
      </c>
      <c r="C105" s="39">
        <v>15.6</v>
      </c>
      <c r="D105" s="17">
        <f t="shared" si="20"/>
        <v>256.5</v>
      </c>
      <c r="E105" s="14">
        <f t="shared" si="26"/>
        <v>10.6875</v>
      </c>
      <c r="F105" s="18">
        <f t="shared" si="21"/>
        <v>10.175233302506918</v>
      </c>
      <c r="G105" s="19">
        <f t="shared" si="22"/>
        <v>256.50099999999998</v>
      </c>
      <c r="H105" s="14">
        <f t="shared" si="23"/>
        <v>10.687541666666664</v>
      </c>
      <c r="I105" s="18">
        <f t="shared" si="24"/>
        <v>10.175391981537041</v>
      </c>
    </row>
    <row r="106" spans="1:14" x14ac:dyDescent="0.2">
      <c r="A106" s="23" t="s">
        <v>21</v>
      </c>
      <c r="B106" s="40">
        <f xml:space="preserve"> SUM(B82:B105)</f>
        <v>0.99999999999999956</v>
      </c>
      <c r="C106" s="25"/>
      <c r="D106" s="26"/>
      <c r="E106" s="27">
        <f xml:space="preserve"> SUM(E82:E105)</f>
        <v>254.98333333333338</v>
      </c>
      <c r="F106" s="28">
        <f xml:space="preserve"> SUM(F82:F105)</f>
        <v>238.77903138793536</v>
      </c>
      <c r="G106" s="29"/>
      <c r="H106" s="27">
        <f xml:space="preserve"> SUM(H82:H105)</f>
        <v>254.9843333333333</v>
      </c>
      <c r="I106" s="28">
        <f xml:space="preserve"> SUM(I82:I105)</f>
        <v>238.78277486537968</v>
      </c>
    </row>
    <row r="107" spans="1:14" x14ac:dyDescent="0.2">
      <c r="E107" s="31" t="s">
        <v>72</v>
      </c>
      <c r="F107" s="28">
        <f xml:space="preserve"> (F106 / sigmaEpsilon)^0.25</f>
        <v>255.06302828453059</v>
      </c>
      <c r="H107" s="31" t="s">
        <v>71</v>
      </c>
      <c r="I107" s="28">
        <f xml:space="preserve"> (I106 / sigmaEpsilon)^0.25</f>
        <v>255.06402797143161</v>
      </c>
    </row>
    <row r="108" spans="1:14" x14ac:dyDescent="0.2">
      <c r="K108" s="60" t="s">
        <v>74</v>
      </c>
    </row>
    <row r="109" spans="1:14" ht="12" customHeight="1" x14ac:dyDescent="0.2">
      <c r="A109" s="50" t="s">
        <v>198</v>
      </c>
      <c r="B109" s="51">
        <f>H106 - E106</f>
        <v>9.9999999991950972E-4</v>
      </c>
      <c r="C109" s="9" t="s">
        <v>18</v>
      </c>
      <c r="E109" s="32"/>
      <c r="F109" s="33"/>
      <c r="G109" s="34" t="s">
        <v>73</v>
      </c>
      <c r="H109" s="59">
        <f xml:space="preserve"> F107 / (4 * F106)</f>
        <v>0.2670492325079199</v>
      </c>
      <c r="I109" s="9" t="s">
        <v>64</v>
      </c>
      <c r="K109" s="61"/>
      <c r="L109" s="35" t="s">
        <v>68</v>
      </c>
      <c r="M109" s="51">
        <f xml:space="preserve"> 100 * (H110 - H109) / H109</f>
        <v>-5.8791966433936608E-4</v>
      </c>
      <c r="N109" s="9" t="s">
        <v>23</v>
      </c>
    </row>
    <row r="110" spans="1:14" ht="12" customHeight="1" x14ac:dyDescent="0.2">
      <c r="A110" s="50" t="s">
        <v>199</v>
      </c>
      <c r="B110" s="51">
        <f xml:space="preserve"> I106 - F106</f>
        <v>3.7434774443170227E-3</v>
      </c>
      <c r="C110" s="9" t="s">
        <v>19</v>
      </c>
      <c r="E110" s="32"/>
      <c r="F110" s="33"/>
      <c r="G110" s="34" t="s">
        <v>201</v>
      </c>
      <c r="H110" s="59">
        <f xml:space="preserve"> B111 / B110</f>
        <v>0.26704766247296852</v>
      </c>
      <c r="I110" s="9" t="s">
        <v>64</v>
      </c>
      <c r="K110" s="61"/>
      <c r="L110" s="35" t="s">
        <v>69</v>
      </c>
      <c r="M110" s="36">
        <f xml:space="preserve"> 100 * (H111 - H110) / H109</f>
        <v>3.1319511466592204E-2</v>
      </c>
      <c r="N110" s="9" t="s">
        <v>23</v>
      </c>
    </row>
    <row r="111" spans="1:14" ht="12" customHeight="1" x14ac:dyDescent="0.2">
      <c r="A111" s="50" t="s">
        <v>200</v>
      </c>
      <c r="B111" s="51">
        <f xml:space="preserve"> I107 - F107</f>
        <v>9.9968690102514302E-4</v>
      </c>
      <c r="C111" s="9" t="s">
        <v>18</v>
      </c>
      <c r="E111" s="56"/>
      <c r="F111" s="57"/>
      <c r="G111" s="58" t="s">
        <v>202</v>
      </c>
      <c r="H111" s="59">
        <f xml:space="preserve"> B109 / B110</f>
        <v>0.26713130098796528</v>
      </c>
      <c r="I111" s="9" t="s">
        <v>64</v>
      </c>
      <c r="K111" s="61"/>
      <c r="L111" s="35" t="s">
        <v>70</v>
      </c>
      <c r="M111" s="51">
        <f xml:space="preserve"> 100 * (H111 - H109) / H109</f>
        <v>3.0731591802252836E-2</v>
      </c>
      <c r="N111" s="9" t="s">
        <v>23</v>
      </c>
    </row>
    <row r="112" spans="1:14" ht="12" customHeight="1" x14ac:dyDescent="0.2">
      <c r="E112" s="56"/>
      <c r="F112" s="57"/>
      <c r="G112" s="58" t="s">
        <v>203</v>
      </c>
      <c r="H112" s="59">
        <f xml:space="preserve"> B109 / B111</f>
        <v>1.0003131969560126</v>
      </c>
      <c r="I112" s="9">
        <v>1</v>
      </c>
    </row>
    <row r="113" spans="1:13" ht="12" customHeight="1" x14ac:dyDescent="0.2">
      <c r="E113" s="29"/>
      <c r="F113" s="29"/>
      <c r="G113" s="29"/>
    </row>
    <row r="114" spans="1:13" ht="23.25" x14ac:dyDescent="0.2">
      <c r="A114" s="7" t="s">
        <v>66</v>
      </c>
    </row>
    <row r="115" spans="1:13" x14ac:dyDescent="0.2">
      <c r="A115" s="3" t="s">
        <v>8</v>
      </c>
      <c r="B115" s="3"/>
      <c r="C115" s="62">
        <v>0.5</v>
      </c>
      <c r="D115" s="5" t="s">
        <v>3</v>
      </c>
    </row>
    <row r="116" spans="1:13" x14ac:dyDescent="0.2">
      <c r="A116" s="54" t="s">
        <v>77</v>
      </c>
      <c r="B116" s="55"/>
      <c r="C116" s="53">
        <v>0.96</v>
      </c>
      <c r="D116" s="5"/>
    </row>
    <row r="117" spans="1:13" ht="11.25" customHeight="1" x14ac:dyDescent="0.2">
      <c r="A117" s="3" t="s">
        <v>89</v>
      </c>
      <c r="B117" s="3"/>
      <c r="C117" s="49">
        <v>0</v>
      </c>
      <c r="D117" s="5" t="s">
        <v>75</v>
      </c>
    </row>
    <row r="118" spans="1:13" ht="11.25" customHeight="1" x14ac:dyDescent="0.2">
      <c r="A118" s="3" t="s">
        <v>207</v>
      </c>
      <c r="B118" s="3"/>
      <c r="C118" s="24">
        <f xml:space="preserve"> tauC</f>
        <v>0.45610698923020115</v>
      </c>
      <c r="D118" s="5" t="s">
        <v>22</v>
      </c>
    </row>
    <row r="119" spans="1:13" ht="11.25" customHeight="1" x14ac:dyDescent="0.2">
      <c r="A119" s="3" t="s">
        <v>208</v>
      </c>
      <c r="B119" s="3"/>
      <c r="C119" s="144">
        <f xml:space="preserve"> C118</f>
        <v>0.45610698923020115</v>
      </c>
      <c r="D119" s="5" t="s">
        <v>22</v>
      </c>
    </row>
    <row r="121" spans="1:13" ht="26.25" customHeight="1" x14ac:dyDescent="0.2">
      <c r="A121" s="9" t="s">
        <v>63</v>
      </c>
      <c r="B121" s="9" t="s">
        <v>56</v>
      </c>
      <c r="C121" s="10" t="s">
        <v>10</v>
      </c>
      <c r="D121" s="11" t="s">
        <v>12</v>
      </c>
      <c r="E121" s="9" t="s">
        <v>13</v>
      </c>
      <c r="F121" s="12" t="s">
        <v>14</v>
      </c>
      <c r="G121" s="13" t="s">
        <v>204</v>
      </c>
      <c r="H121" s="9" t="s">
        <v>205</v>
      </c>
      <c r="I121" s="12" t="s">
        <v>206</v>
      </c>
      <c r="K121" s="9" t="s">
        <v>195</v>
      </c>
      <c r="L121" s="220" t="s">
        <v>220</v>
      </c>
      <c r="M121" s="224"/>
    </row>
    <row r="122" spans="1:13" x14ac:dyDescent="0.2">
      <c r="A122" s="9"/>
      <c r="B122" s="9" t="s">
        <v>19</v>
      </c>
      <c r="C122" s="10"/>
      <c r="D122" s="11" t="s">
        <v>18</v>
      </c>
      <c r="E122" s="9" t="s">
        <v>18</v>
      </c>
      <c r="F122" s="12" t="s">
        <v>19</v>
      </c>
      <c r="G122" s="13" t="s">
        <v>18</v>
      </c>
      <c r="H122" s="9" t="s">
        <v>18</v>
      </c>
      <c r="I122" s="12" t="s">
        <v>19</v>
      </c>
      <c r="K122" s="9"/>
      <c r="L122" s="9" t="s">
        <v>197</v>
      </c>
      <c r="M122" s="9" t="s">
        <v>196</v>
      </c>
    </row>
    <row r="123" spans="1:13" x14ac:dyDescent="0.2">
      <c r="A123" s="42" t="s">
        <v>57</v>
      </c>
      <c r="B123" s="43">
        <v>48</v>
      </c>
      <c r="C123" s="44">
        <f xml:space="preserve"> B123 / B$129</f>
        <v>0.20083682008368201</v>
      </c>
      <c r="D123" s="45">
        <v>244</v>
      </c>
      <c r="E123" s="14">
        <f xml:space="preserve"> C123 * D123</f>
        <v>49.004184100418406</v>
      </c>
      <c r="F123" s="18">
        <f xml:space="preserve"> C123 * sigma* D123^4</f>
        <v>40.363210299554815</v>
      </c>
      <c r="G123" s="19">
        <f>D123 +  temperatureIncrEL</f>
        <v>244.5</v>
      </c>
      <c r="H123" s="14">
        <f xml:space="preserve"> C123 * G123</f>
        <v>49.104602510460253</v>
      </c>
      <c r="I123" s="28">
        <f xml:space="preserve"> IF(treatCO2ELAsSBEmitter = 1, C123 * sigma* G123^4, F123 + tauCSensitivity * temperatureIncrEL)</f>
        <v>40.591263794169919</v>
      </c>
      <c r="J123" s="31" t="s">
        <v>194</v>
      </c>
      <c r="K123" s="40">
        <f>F123</f>
        <v>40.363210299554815</v>
      </c>
      <c r="L123" s="40">
        <f xml:space="preserve"> C123 * sigma* G123^4</f>
        <v>40.695074620226357</v>
      </c>
      <c r="M123" s="40">
        <f xml:space="preserve"> F123 + tauC * temperatureIncrEL</f>
        <v>40.591263794169919</v>
      </c>
    </row>
    <row r="124" spans="1:13" x14ac:dyDescent="0.2">
      <c r="A124" s="42" t="s">
        <v>58</v>
      </c>
      <c r="B124" s="43">
        <v>45</v>
      </c>
      <c r="C124" s="44">
        <f t="shared" ref="C124:C128" si="27" xml:space="preserve"> B124 / B$129</f>
        <v>0.18828451882845187</v>
      </c>
      <c r="D124" s="45">
        <v>288</v>
      </c>
      <c r="E124" s="14">
        <f t="shared" ref="E124:E128" si="28" xml:space="preserve"> C124 * D124</f>
        <v>54.22594142259414</v>
      </c>
      <c r="F124" s="18">
        <f xml:space="preserve"> C124 * sigma * epsilonSurface * D124^4</f>
        <v>70.508074674493045</v>
      </c>
      <c r="G124" s="19">
        <f>D124 + temperatureIncrEL</f>
        <v>288.5</v>
      </c>
      <c r="H124" s="14">
        <f t="shared" ref="H124:H128" si="29" xml:space="preserve"> C124 * G124</f>
        <v>54.320083682008367</v>
      </c>
      <c r="I124" s="18">
        <f xml:space="preserve"> C124 * sigma * epsilonSurface * G124^4</f>
        <v>70.998990661032167</v>
      </c>
    </row>
    <row r="125" spans="1:13" x14ac:dyDescent="0.2">
      <c r="A125" s="42" t="s">
        <v>59</v>
      </c>
      <c r="B125" s="43">
        <v>48</v>
      </c>
      <c r="C125" s="44">
        <f t="shared" si="27"/>
        <v>0.20083682008368201</v>
      </c>
      <c r="D125" s="45">
        <v>267</v>
      </c>
      <c r="E125" s="14">
        <f t="shared" si="28"/>
        <v>53.623430962343093</v>
      </c>
      <c r="F125" s="18">
        <f xml:space="preserve"> C125 * sigma * D125^4</f>
        <v>57.872393019052723</v>
      </c>
      <c r="G125" s="19">
        <f>D125 + temperatureIncrEL</f>
        <v>267.5</v>
      </c>
      <c r="H125" s="14">
        <f t="shared" si="29"/>
        <v>53.723849372384933</v>
      </c>
      <c r="I125" s="18">
        <f xml:space="preserve"> C125 * sigma * G125^4</f>
        <v>58.307113310930966</v>
      </c>
    </row>
    <row r="126" spans="1:13" x14ac:dyDescent="0.2">
      <c r="A126" s="42" t="s">
        <v>60</v>
      </c>
      <c r="B126" s="43">
        <v>79</v>
      </c>
      <c r="C126" s="44">
        <f t="shared" si="27"/>
        <v>0.33054393305439328</v>
      </c>
      <c r="D126" s="45">
        <v>236</v>
      </c>
      <c r="E126" s="14">
        <f t="shared" si="28"/>
        <v>78.008368200836813</v>
      </c>
      <c r="F126" s="18">
        <f xml:space="preserve"> C126 * sigma * D126^4</f>
        <v>58.138023232589113</v>
      </c>
      <c r="G126" s="19">
        <f>D126 + temperatureIncrEL</f>
        <v>236.5</v>
      </c>
      <c r="H126" s="14">
        <f t="shared" si="29"/>
        <v>78.173640167364013</v>
      </c>
      <c r="I126" s="18">
        <f xml:space="preserve"> C126 * sigma * G126^4</f>
        <v>58.63228632580315</v>
      </c>
    </row>
    <row r="127" spans="1:13" x14ac:dyDescent="0.2">
      <c r="A127" s="42" t="s">
        <v>61</v>
      </c>
      <c r="B127" s="43">
        <v>14</v>
      </c>
      <c r="C127" s="44">
        <f t="shared" si="27"/>
        <v>5.8577405857740586E-2</v>
      </c>
      <c r="D127" s="45">
        <v>275</v>
      </c>
      <c r="E127" s="14">
        <f t="shared" si="28"/>
        <v>16.10878661087866</v>
      </c>
      <c r="F127" s="18">
        <f xml:space="preserve"> C127 * sigma * D127^4</f>
        <v>18.995204301778241</v>
      </c>
      <c r="G127" s="19">
        <f>D127 + temperatureIncrEL</f>
        <v>275.5</v>
      </c>
      <c r="H127" s="14">
        <f t="shared" si="29"/>
        <v>16.13807531380753</v>
      </c>
      <c r="I127" s="18">
        <f xml:space="preserve"> IF(treatCO2ELAsSBEmitter = 1, C127 * sigma* G127^4, F127)</f>
        <v>18.995204301778241</v>
      </c>
    </row>
    <row r="128" spans="1:13" x14ac:dyDescent="0.2">
      <c r="A128" s="42" t="s">
        <v>62</v>
      </c>
      <c r="B128" s="43">
        <v>5</v>
      </c>
      <c r="C128" s="44">
        <f t="shared" si="27"/>
        <v>2.0920502092050208E-2</v>
      </c>
      <c r="D128" s="45">
        <v>268</v>
      </c>
      <c r="E128" s="14">
        <f t="shared" si="28"/>
        <v>5.6066945606694558</v>
      </c>
      <c r="F128" s="18">
        <f xml:space="preserve"> C128 * sigma * D128^4</f>
        <v>6.1191956388953974</v>
      </c>
      <c r="G128" s="19">
        <f>D128 + temperatureIncrEL</f>
        <v>268.5</v>
      </c>
      <c r="H128" s="14">
        <f t="shared" si="29"/>
        <v>5.6171548117154808</v>
      </c>
      <c r="I128" s="18">
        <f xml:space="preserve"> C128 * sigma* G128^4</f>
        <v>6.1649892326473585</v>
      </c>
    </row>
    <row r="129" spans="1:27" x14ac:dyDescent="0.2">
      <c r="A129" s="23" t="s">
        <v>21</v>
      </c>
      <c r="B129" s="30">
        <f xml:space="preserve"> SUM(B123:B128)</f>
        <v>239</v>
      </c>
      <c r="C129" s="30">
        <f xml:space="preserve"> SUM(C123:C128)</f>
        <v>1</v>
      </c>
      <c r="D129" s="26"/>
      <c r="E129" s="27">
        <f xml:space="preserve"> SUM(E123:E128)</f>
        <v>256.57740585774053</v>
      </c>
      <c r="F129" s="28">
        <f xml:space="preserve"> SUM(F123:F128)</f>
        <v>251.99610116636333</v>
      </c>
      <c r="G129" s="29"/>
      <c r="H129" s="27">
        <f xml:space="preserve"> SUM(H123:H128)</f>
        <v>257.07740585774053</v>
      </c>
      <c r="I129" s="46">
        <f xml:space="preserve"> SUM(I123:I128)</f>
        <v>253.68984762636182</v>
      </c>
    </row>
    <row r="130" spans="1:27" x14ac:dyDescent="0.2">
      <c r="E130" s="31" t="s">
        <v>72</v>
      </c>
      <c r="F130" s="28">
        <f xml:space="preserve"> (F129 / sigmaEpsilon)^0.25</f>
        <v>258.5216508032895</v>
      </c>
      <c r="H130" s="31" t="s">
        <v>71</v>
      </c>
      <c r="I130" s="28">
        <f xml:space="preserve"> (I129 / sigmaEpsilon)^0.25</f>
        <v>258.95496186110785</v>
      </c>
    </row>
    <row r="131" spans="1:27" s="47" customFormat="1" x14ac:dyDescent="0.2">
      <c r="K131" s="60" t="s">
        <v>74</v>
      </c>
      <c r="T131" s="6"/>
      <c r="U131" s="6"/>
      <c r="V131" s="6"/>
      <c r="W131" s="6"/>
      <c r="X131" s="6"/>
      <c r="Y131" s="6"/>
      <c r="Z131" s="6"/>
      <c r="AA131" s="6"/>
    </row>
    <row r="132" spans="1:27" ht="12" customHeight="1" x14ac:dyDescent="0.2">
      <c r="A132" s="50" t="s">
        <v>198</v>
      </c>
      <c r="B132" s="51">
        <f>H129 - E129</f>
        <v>0.5</v>
      </c>
      <c r="C132" s="9" t="s">
        <v>18</v>
      </c>
      <c r="E132" s="32"/>
      <c r="F132" s="33"/>
      <c r="G132" s="34" t="s">
        <v>73</v>
      </c>
      <c r="H132" s="59">
        <f xml:space="preserve"> F130 / (4 * F129)</f>
        <v>0.25647385972116499</v>
      </c>
      <c r="I132" s="9" t="s">
        <v>64</v>
      </c>
      <c r="K132" s="61"/>
      <c r="L132" s="35" t="s">
        <v>68</v>
      </c>
      <c r="M132" s="51">
        <f xml:space="preserve"> 100 * (H133 - H132) / H132</f>
        <v>-0.25106581918370785</v>
      </c>
      <c r="N132" s="9" t="s">
        <v>23</v>
      </c>
    </row>
    <row r="133" spans="1:27" ht="12" customHeight="1" x14ac:dyDescent="0.2">
      <c r="A133" s="50" t="s">
        <v>199</v>
      </c>
      <c r="B133" s="51">
        <f xml:space="preserve"> I129 - F129</f>
        <v>1.6937464599984935</v>
      </c>
      <c r="C133" s="9" t="s">
        <v>19</v>
      </c>
      <c r="E133" s="32"/>
      <c r="F133" s="33"/>
      <c r="G133" s="34" t="s">
        <v>201</v>
      </c>
      <c r="H133" s="59">
        <f xml:space="preserve"> B134 / B133</f>
        <v>0.25582994152426397</v>
      </c>
      <c r="I133" s="9" t="s">
        <v>64</v>
      </c>
      <c r="K133" s="61"/>
      <c r="L133" s="35" t="s">
        <v>69</v>
      </c>
      <c r="M133" s="36">
        <f xml:space="preserve"> 100 * (H134 - H133) / H132</f>
        <v>15.351906636675459</v>
      </c>
      <c r="N133" s="9" t="s">
        <v>23</v>
      </c>
    </row>
    <row r="134" spans="1:27" ht="12" customHeight="1" x14ac:dyDescent="0.2">
      <c r="A134" s="50" t="s">
        <v>200</v>
      </c>
      <c r="B134" s="51">
        <f xml:space="preserve"> I130 - F130</f>
        <v>0.43331105781834367</v>
      </c>
      <c r="C134" s="9" t="s">
        <v>18</v>
      </c>
      <c r="E134" s="56"/>
      <c r="F134" s="57"/>
      <c r="G134" s="58" t="s">
        <v>202</v>
      </c>
      <c r="H134" s="59">
        <f xml:space="preserve"> B132 / B133</f>
        <v>0.2952035690161352</v>
      </c>
      <c r="I134" s="9" t="s">
        <v>64</v>
      </c>
      <c r="K134" s="61"/>
      <c r="L134" s="35" t="s">
        <v>70</v>
      </c>
      <c r="M134" s="51">
        <f xml:space="preserve"> 100 * (H134 - H132) / H132</f>
        <v>15.100840817491751</v>
      </c>
      <c r="N134" s="9" t="s">
        <v>23</v>
      </c>
    </row>
    <row r="135" spans="1:27" ht="12" customHeight="1" x14ac:dyDescent="0.2">
      <c r="E135" s="56"/>
      <c r="F135" s="57"/>
      <c r="G135" s="58" t="s">
        <v>203</v>
      </c>
      <c r="H135" s="59">
        <f xml:space="preserve"> B132 / B134</f>
        <v>1.153905470396775</v>
      </c>
      <c r="I135" s="9">
        <v>1</v>
      </c>
    </row>
    <row r="136" spans="1:27" ht="12" customHeight="1" x14ac:dyDescent="0.2">
      <c r="E136" s="29"/>
      <c r="F136" s="29"/>
      <c r="G136" s="29"/>
    </row>
    <row r="137" spans="1:27" ht="23.25" x14ac:dyDescent="0.2">
      <c r="A137" s="7" t="s">
        <v>65</v>
      </c>
    </row>
    <row r="138" spans="1:27" x14ac:dyDescent="0.2">
      <c r="J138" s="47"/>
      <c r="K138" s="60" t="s">
        <v>78</v>
      </c>
    </row>
    <row r="139" spans="1:27" x14ac:dyDescent="0.2">
      <c r="E139" s="32"/>
      <c r="F139" s="33"/>
      <c r="G139" s="34" t="s">
        <v>202</v>
      </c>
      <c r="H139" s="59">
        <f xml:space="preserve"> 0.267 * (1 + 0.01 * M139)</f>
        <v>0.30912376064547492</v>
      </c>
      <c r="I139" s="9" t="s">
        <v>22</v>
      </c>
      <c r="K139" s="61"/>
      <c r="L139" s="35" t="s">
        <v>79</v>
      </c>
      <c r="M139" s="48">
        <f>M33 + M72 + M110 + M133</f>
        <v>15.776689380327678</v>
      </c>
      <c r="N139" s="9" t="s">
        <v>23</v>
      </c>
    </row>
    <row r="140" spans="1:27" x14ac:dyDescent="0.2">
      <c r="E140" s="56"/>
      <c r="F140" s="57"/>
      <c r="G140" s="58" t="s">
        <v>203</v>
      </c>
      <c r="H140" s="51">
        <f xml:space="preserve"> H35 * H74 * H112 * H135</f>
        <v>1.1588127067087395</v>
      </c>
      <c r="I140" s="9">
        <v>1</v>
      </c>
      <c r="K140" s="61"/>
      <c r="L140" s="35" t="s">
        <v>80</v>
      </c>
      <c r="M140" s="48">
        <f xml:space="preserve"> 100 * (1 - (1 - 0.01 * M33) * (1 - 0.01 * M72 ) * (1 - 0.01 * M110) * (1 - 0.01 * M133))</f>
        <v>15.711258147479612</v>
      </c>
      <c r="N140" s="9" t="s">
        <v>23</v>
      </c>
    </row>
    <row r="141" spans="1:27" x14ac:dyDescent="0.2">
      <c r="E141" s="56"/>
      <c r="F141" s="57"/>
      <c r="G141" s="58" t="s">
        <v>221</v>
      </c>
      <c r="H141" s="142">
        <f xml:space="preserve"> 1 / H139</f>
        <v>3.2349502927627456</v>
      </c>
      <c r="I141" s="143" t="s">
        <v>64</v>
      </c>
      <c r="K141" s="61"/>
      <c r="L141" s="35" t="s">
        <v>81</v>
      </c>
      <c r="M141" s="48">
        <f xml:space="preserve"> 100 * ((1/3.2) - 0.267) / 0.267</f>
        <v>17.041198501872653</v>
      </c>
      <c r="N141" s="9" t="s">
        <v>23</v>
      </c>
    </row>
    <row r="142" spans="1:27" x14ac:dyDescent="0.2">
      <c r="E142" s="29"/>
      <c r="F142" s="29"/>
      <c r="G142" s="29"/>
      <c r="H142" s="29"/>
      <c r="I142" s="29"/>
    </row>
  </sheetData>
  <mergeCells count="1">
    <mergeCell ref="L121:M121"/>
  </mergeCells>
  <pageMargins left="0.75" right="0.75" top="1" bottom="1" header="0.5" footer="0.5"/>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C000"/>
  </sheetPr>
  <dimension ref="A1:I54"/>
  <sheetViews>
    <sheetView zoomScaleNormal="100" workbookViewId="0">
      <selection activeCell="B69" sqref="B69"/>
    </sheetView>
  </sheetViews>
  <sheetFormatPr defaultRowHeight="12" x14ac:dyDescent="0.2"/>
  <cols>
    <col min="1" max="1" width="9.5703125" style="6" customWidth="1"/>
    <col min="2" max="2" width="12.5703125" style="6" customWidth="1"/>
    <col min="3" max="3" width="12" style="6" customWidth="1"/>
    <col min="4" max="4" width="11.42578125" style="6" customWidth="1"/>
    <col min="5" max="5" width="10.5703125" style="6" customWidth="1"/>
    <col min="6" max="6" width="11.140625" style="6" customWidth="1"/>
    <col min="7" max="7" width="11.5703125" style="6" customWidth="1"/>
    <col min="8" max="8" width="9.5703125" style="6" customWidth="1"/>
    <col min="9" max="9" width="11.28515625" style="6" customWidth="1"/>
    <col min="10" max="10" width="7.7109375" style="6" customWidth="1"/>
    <col min="11" max="12" width="10.42578125" style="6" customWidth="1"/>
    <col min="13" max="13" width="9.140625" style="6"/>
    <col min="14" max="14" width="10" style="6" customWidth="1"/>
    <col min="15" max="16" width="9.140625" style="6"/>
    <col min="17" max="17" width="10.140625" style="6" customWidth="1"/>
    <col min="18" max="18" width="9.140625" style="6"/>
    <col min="19" max="19" width="11.140625" style="6" customWidth="1"/>
    <col min="20" max="16384" width="9.140625" style="6"/>
  </cols>
  <sheetData>
    <row r="1" spans="1:4" s="64" customFormat="1" ht="23.25" x14ac:dyDescent="0.2">
      <c r="A1" s="63" t="s">
        <v>265</v>
      </c>
    </row>
    <row r="3" spans="1:4" ht="12.75" x14ac:dyDescent="0.2">
      <c r="A3" s="65" t="s">
        <v>83</v>
      </c>
    </row>
    <row r="4" spans="1:4" ht="14.1" customHeight="1" x14ac:dyDescent="0.2">
      <c r="A4" s="145" t="s">
        <v>209</v>
      </c>
      <c r="B4" s="55"/>
      <c r="C4" s="72">
        <v>3.7</v>
      </c>
      <c r="D4" s="5" t="s">
        <v>19</v>
      </c>
    </row>
    <row r="5" spans="1:4" ht="14.1" customHeight="1" x14ac:dyDescent="0.2">
      <c r="A5" s="54" t="s">
        <v>226</v>
      </c>
      <c r="B5" s="55"/>
      <c r="C5" s="69">
        <v>0.26700000000000002</v>
      </c>
      <c r="D5" s="5" t="s">
        <v>64</v>
      </c>
    </row>
    <row r="6" spans="1:4" ht="14.1" customHeight="1" x14ac:dyDescent="0.2">
      <c r="A6" s="54" t="s">
        <v>90</v>
      </c>
      <c r="B6" s="55"/>
      <c r="C6" s="72">
        <v>2</v>
      </c>
      <c r="D6" s="5"/>
    </row>
    <row r="7" spans="1:4" ht="14.1" customHeight="1" x14ac:dyDescent="0.2">
      <c r="A7" s="54" t="s">
        <v>91</v>
      </c>
      <c r="B7" s="55"/>
      <c r="C7" s="71">
        <v>0.4</v>
      </c>
      <c r="D7" s="5" t="s">
        <v>22</v>
      </c>
    </row>
    <row r="8" spans="1:4" ht="14.1" customHeight="1" x14ac:dyDescent="0.2">
      <c r="A8" s="54" t="s">
        <v>92</v>
      </c>
      <c r="B8" s="55"/>
      <c r="C8" s="71">
        <v>-0.6</v>
      </c>
      <c r="D8" s="5" t="s">
        <v>22</v>
      </c>
    </row>
    <row r="10" spans="1:4" ht="12" customHeight="1" x14ac:dyDescent="0.2">
      <c r="A10" s="65" t="s">
        <v>222</v>
      </c>
    </row>
    <row r="11" spans="1:4" ht="14.1" customHeight="1" x14ac:dyDescent="0.2">
      <c r="A11" s="54" t="s">
        <v>93</v>
      </c>
      <c r="B11" s="55"/>
      <c r="C11" s="24">
        <f xml:space="preserve"> lambdaSB * M * fAlpha</f>
        <v>0.21360000000000001</v>
      </c>
      <c r="D11" s="5"/>
    </row>
    <row r="12" spans="1:4" ht="14.1" customHeight="1" x14ac:dyDescent="0.2">
      <c r="A12" s="54" t="s">
        <v>94</v>
      </c>
      <c r="B12" s="55"/>
      <c r="C12" s="24">
        <f xml:space="preserve"> 1 / (1 - C11)</f>
        <v>1.2716174974567651</v>
      </c>
      <c r="D12" s="5"/>
    </row>
    <row r="13" spans="1:4" ht="21.95" customHeight="1" x14ac:dyDescent="0.2">
      <c r="A13" s="65"/>
      <c r="C13" s="24">
        <f xml:space="preserve"> lambdaSB * M</f>
        <v>0.53400000000000003</v>
      </c>
      <c r="D13" s="5" t="s">
        <v>64</v>
      </c>
    </row>
    <row r="14" spans="1:4" ht="21.95" customHeight="1" x14ac:dyDescent="0.2">
      <c r="A14" s="65"/>
      <c r="C14" s="24">
        <f xml:space="preserve"> 1- fAlpha * lambdaSB * M</f>
        <v>0.78639999999999999</v>
      </c>
      <c r="D14" s="5">
        <v>1</v>
      </c>
    </row>
    <row r="16" spans="1:4" ht="12.75" x14ac:dyDescent="0.2">
      <c r="A16" s="65" t="s">
        <v>223</v>
      </c>
    </row>
    <row r="17" spans="1:9" ht="24.75" customHeight="1" x14ac:dyDescent="0.2">
      <c r="A17" s="65"/>
      <c r="C17" s="24">
        <f xml:space="preserve"> 1 / (M * lambdaSB) - tau</f>
        <v>-1.3398836764941857</v>
      </c>
      <c r="D17" s="5" t="s">
        <v>22</v>
      </c>
    </row>
    <row r="18" spans="1:9" ht="12.75" x14ac:dyDescent="0.2">
      <c r="A18" s="65"/>
    </row>
    <row r="20" spans="1:9" ht="12.75" x14ac:dyDescent="0.2">
      <c r="A20" s="65" t="s">
        <v>224</v>
      </c>
    </row>
    <row r="21" spans="1:9" ht="13.5" x14ac:dyDescent="0.25">
      <c r="B21" s="124" t="s">
        <v>160</v>
      </c>
      <c r="C21" s="124" t="s">
        <v>161</v>
      </c>
      <c r="D21" s="124" t="s">
        <v>162</v>
      </c>
      <c r="E21" s="31"/>
      <c r="F21" s="31"/>
      <c r="G21" s="31"/>
      <c r="H21" s="31"/>
      <c r="I21" s="31"/>
    </row>
    <row r="22" spans="1:9" x14ac:dyDescent="0.2">
      <c r="A22" s="31" t="s">
        <v>163</v>
      </c>
      <c r="B22" s="37">
        <f xml:space="preserve"> 1000 * (omega * C22 / thetaW)</f>
        <v>154.05766754851751</v>
      </c>
      <c r="C22" s="125">
        <v>1</v>
      </c>
      <c r="D22" s="15">
        <f xml:space="preserve"> C22 / M</f>
        <v>0.5</v>
      </c>
    </row>
    <row r="23" spans="1:9" x14ac:dyDescent="0.2">
      <c r="A23" s="31" t="s">
        <v>164</v>
      </c>
      <c r="B23" s="126">
        <v>-100</v>
      </c>
      <c r="C23" s="127">
        <f xml:space="preserve"> 0.001 * B23 * thetaW / omega</f>
        <v>-0.64910758153927595</v>
      </c>
      <c r="D23" s="127">
        <f xml:space="preserve"> C23 / M</f>
        <v>-0.32455379076963797</v>
      </c>
    </row>
    <row r="25" spans="1:9" ht="12.75" x14ac:dyDescent="0.2">
      <c r="A25" s="65" t="s">
        <v>225</v>
      </c>
    </row>
    <row r="26" spans="1:9" ht="30.75" customHeight="1" x14ac:dyDescent="0.2">
      <c r="A26" s="128"/>
      <c r="B26" s="128"/>
      <c r="C26" s="128"/>
      <c r="D26" s="128"/>
      <c r="F26" s="128"/>
      <c r="G26" s="128"/>
      <c r="H26" s="128"/>
      <c r="I26" s="159" t="s">
        <v>168</v>
      </c>
    </row>
    <row r="27" spans="1:9" ht="12" customHeight="1" x14ac:dyDescent="0.2">
      <c r="A27" s="129">
        <v>1</v>
      </c>
      <c r="B27" s="129" t="s">
        <v>64</v>
      </c>
      <c r="C27" s="129" t="s">
        <v>118</v>
      </c>
      <c r="D27" s="129" t="s">
        <v>18</v>
      </c>
      <c r="F27" s="129">
        <v>1</v>
      </c>
      <c r="G27" s="129" t="s">
        <v>64</v>
      </c>
      <c r="H27" s="129" t="s">
        <v>170</v>
      </c>
      <c r="I27" s="129" t="s">
        <v>18</v>
      </c>
    </row>
    <row r="28" spans="1:9" x14ac:dyDescent="0.2">
      <c r="A28" s="219">
        <v>1E-4</v>
      </c>
      <c r="B28" s="15">
        <f t="shared" ref="B28:B38" si="0">1/(omega / A28 - 1/(M * lambdaSB))</f>
        <v>-7.462291497793789E-5</v>
      </c>
      <c r="C28" s="15">
        <f t="shared" ref="C28:C38" si="1" xml:space="preserve"> B28 * thetaW</f>
        <v>6.4901687311255554E-4</v>
      </c>
      <c r="D28" s="15">
        <f t="shared" ref="D28:D38" si="2" xml:space="preserve"> -B28 * DR2X</f>
        <v>2.761047854183702E-4</v>
      </c>
      <c r="E28" s="31"/>
      <c r="F28" s="132">
        <v>1</v>
      </c>
      <c r="G28" s="15">
        <f t="shared" ref="G28:G38" si="3">1/(omega / F28 - 1/(M * lambdaSB))</f>
        <v>-0.31127989443449244</v>
      </c>
      <c r="H28" s="37">
        <f xml:space="preserve"> 1000 * (I28 + G28 * DR2X) / (G28 * thetaW)</f>
        <v>682.69897036322948</v>
      </c>
      <c r="I28" s="125">
        <v>3</v>
      </c>
    </row>
    <row r="29" spans="1:9" x14ac:dyDescent="0.2">
      <c r="A29" s="131">
        <v>0.1</v>
      </c>
      <c r="B29" s="15">
        <f t="shared" si="0"/>
        <v>-6.5481469783003052E-2</v>
      </c>
      <c r="C29" s="15">
        <f t="shared" si="1"/>
        <v>0.56951110497282975</v>
      </c>
      <c r="D29" s="15">
        <f t="shared" si="2"/>
        <v>0.24228143819711132</v>
      </c>
      <c r="F29" s="132">
        <v>1</v>
      </c>
      <c r="G29" s="15">
        <f t="shared" si="3"/>
        <v>-0.31127989443449244</v>
      </c>
      <c r="H29" s="133">
        <v>0</v>
      </c>
      <c r="I29" s="15">
        <f xml:space="preserve"> G29 * (thetaW  * 0.001 * H29 - DR2X)</f>
        <v>1.1517356094076221</v>
      </c>
    </row>
    <row r="30" spans="1:9" x14ac:dyDescent="0.2">
      <c r="A30" s="131">
        <v>0.2</v>
      </c>
      <c r="B30" s="15">
        <f t="shared" si="0"/>
        <v>-0.11665783390028997</v>
      </c>
      <c r="C30" s="15">
        <f t="shared" si="1"/>
        <v>1.014606607158598</v>
      </c>
      <c r="D30" s="15">
        <f t="shared" si="2"/>
        <v>0.4316339854310729</v>
      </c>
      <c r="F30" s="132">
        <v>0.5</v>
      </c>
      <c r="G30" s="15">
        <f t="shared" si="3"/>
        <v>-0.21966307278673114</v>
      </c>
      <c r="H30" s="133">
        <v>0</v>
      </c>
      <c r="I30" s="15">
        <f xml:space="preserve"> G30 * (thetaW  * 0.001 * H30 - DR2X)</f>
        <v>0.81275336931090525</v>
      </c>
    </row>
    <row r="31" spans="1:9" x14ac:dyDescent="0.2">
      <c r="A31" s="131">
        <v>0.30000000000000004</v>
      </c>
      <c r="B31" s="15">
        <f t="shared" si="0"/>
        <v>-0.15775512942245423</v>
      </c>
      <c r="C31" s="15">
        <f t="shared" si="1"/>
        <v>1.3720415618379138</v>
      </c>
      <c r="D31" s="15">
        <f t="shared" si="2"/>
        <v>0.58369397886308072</v>
      </c>
      <c r="E31" s="31"/>
      <c r="F31" s="132">
        <v>0.2</v>
      </c>
      <c r="G31" s="15">
        <f t="shared" si="3"/>
        <v>-0.11665783390028997</v>
      </c>
      <c r="H31" s="133">
        <v>0</v>
      </c>
      <c r="I31" s="15">
        <f xml:space="preserve"> G31 * (thetaW  * 0.001 * H31 - DR2X)</f>
        <v>0.4316339854310729</v>
      </c>
    </row>
    <row r="32" spans="1:9" x14ac:dyDescent="0.2">
      <c r="A32" s="131">
        <v>0.4</v>
      </c>
      <c r="B32" s="15">
        <f t="shared" si="0"/>
        <v>-0.19148400297997881</v>
      </c>
      <c r="C32" s="15">
        <f t="shared" si="1"/>
        <v>1.6653912394320587</v>
      </c>
      <c r="D32" s="15">
        <f t="shared" si="2"/>
        <v>0.7084908110259216</v>
      </c>
      <c r="E32" s="31"/>
      <c r="F32" s="132">
        <v>1</v>
      </c>
      <c r="G32" s="15">
        <f t="shared" si="3"/>
        <v>-0.31127989443449244</v>
      </c>
      <c r="H32" s="37">
        <f xml:space="preserve"> 1000 * (I32 + G32 * DR2X) / (G32 * thetaW)</f>
        <v>-425.42004200018209</v>
      </c>
      <c r="I32" s="125">
        <v>0</v>
      </c>
    </row>
    <row r="33" spans="1:9" x14ac:dyDescent="0.2">
      <c r="A33" s="131">
        <v>0.5</v>
      </c>
      <c r="B33" s="15">
        <f t="shared" si="0"/>
        <v>-0.21966307278673114</v>
      </c>
      <c r="C33" s="15">
        <f t="shared" si="1"/>
        <v>1.9104726836319514</v>
      </c>
      <c r="D33" s="15">
        <f t="shared" si="2"/>
        <v>0.81275336931090525</v>
      </c>
      <c r="E33" s="31"/>
      <c r="F33" s="132">
        <v>0.5</v>
      </c>
      <c r="G33" s="15">
        <f t="shared" si="3"/>
        <v>-0.21966307278673114</v>
      </c>
      <c r="H33" s="37">
        <f xml:space="preserve"> 1000 * (I33 + G33 * DR2X) / (G33 * thetaW)</f>
        <v>-425.42004200018198</v>
      </c>
      <c r="I33" s="125">
        <v>0</v>
      </c>
    </row>
    <row r="34" spans="1:9" x14ac:dyDescent="0.2">
      <c r="A34" s="131">
        <v>0.60000000000000009</v>
      </c>
      <c r="B34" s="15">
        <f t="shared" si="0"/>
        <v>-0.24355797457381634</v>
      </c>
      <c r="C34" s="15">
        <f t="shared" si="1"/>
        <v>2.1182934910310007</v>
      </c>
      <c r="D34" s="15">
        <f t="shared" si="2"/>
        <v>0.90116450592312047</v>
      </c>
      <c r="E34" s="31"/>
      <c r="F34" s="132">
        <v>0.01</v>
      </c>
      <c r="G34" s="15">
        <f t="shared" si="3"/>
        <v>-7.3604625503440333E-3</v>
      </c>
      <c r="H34" s="37">
        <f xml:space="preserve"> 1000 * (I34 + G34 * DR2X) / (G34 * thetaW)</f>
        <v>-425.42004200018204</v>
      </c>
      <c r="I34" s="125">
        <v>0</v>
      </c>
    </row>
    <row r="35" spans="1:9" x14ac:dyDescent="0.2">
      <c r="A35" s="131">
        <v>0.70000000000000007</v>
      </c>
      <c r="B35" s="15">
        <f t="shared" si="0"/>
        <v>-0.26407669303065762</v>
      </c>
      <c r="C35" s="15">
        <f t="shared" si="1"/>
        <v>2.2967506646360945</v>
      </c>
      <c r="D35" s="15">
        <f t="shared" si="2"/>
        <v>0.97708376421343324</v>
      </c>
      <c r="F35" s="132">
        <v>1</v>
      </c>
      <c r="G35" s="15">
        <f t="shared" si="3"/>
        <v>-0.31127989443449244</v>
      </c>
      <c r="H35" s="37">
        <f xml:space="preserve"> 1000 * (I35 + G35 * DR2X) / (G35 * thetaW)</f>
        <v>-240.73353993961345</v>
      </c>
      <c r="I35" s="125">
        <v>0.5</v>
      </c>
    </row>
    <row r="36" spans="1:9" x14ac:dyDescent="0.2">
      <c r="A36" s="131">
        <v>0.8</v>
      </c>
      <c r="B36" s="15">
        <f t="shared" si="0"/>
        <v>-0.28188755967409124</v>
      </c>
      <c r="C36" s="15">
        <f t="shared" si="1"/>
        <v>2.451656875144804</v>
      </c>
      <c r="D36" s="15">
        <f t="shared" si="2"/>
        <v>1.0429839707941377</v>
      </c>
      <c r="F36" s="132">
        <v>0.5</v>
      </c>
      <c r="G36" s="15">
        <f t="shared" si="3"/>
        <v>-0.21966307278673114</v>
      </c>
      <c r="H36" s="37">
        <f xml:space="preserve"> 1000 * (I36 + G36 * DR2X) / (G36 * thetaW)</f>
        <v>-163.70470616535471</v>
      </c>
      <c r="I36" s="125">
        <v>0.5</v>
      </c>
    </row>
    <row r="37" spans="1:9" x14ac:dyDescent="0.2">
      <c r="A37" s="131">
        <v>0.9</v>
      </c>
      <c r="B37" s="15">
        <f t="shared" si="0"/>
        <v>-0.29749342601042134</v>
      </c>
      <c r="C37" s="15">
        <f t="shared" si="1"/>
        <v>2.5873855661884591</v>
      </c>
      <c r="D37" s="15">
        <f t="shared" si="2"/>
        <v>1.1007256762385591</v>
      </c>
      <c r="F37" s="132">
        <v>1</v>
      </c>
      <c r="G37" s="15">
        <f t="shared" si="3"/>
        <v>-0.31127989443449244</v>
      </c>
      <c r="H37" s="133">
        <v>100</v>
      </c>
      <c r="I37" s="15">
        <f xml:space="preserve"> G37 * (thetaW  * 0.001 * H37 - DR2X)</f>
        <v>1.4224646526357099</v>
      </c>
    </row>
    <row r="38" spans="1:9" x14ac:dyDescent="0.2">
      <c r="A38" s="131">
        <v>1</v>
      </c>
      <c r="B38" s="15">
        <f t="shared" si="0"/>
        <v>-0.31127989443449244</v>
      </c>
      <c r="C38" s="15">
        <f t="shared" si="1"/>
        <v>2.7072904322808777</v>
      </c>
      <c r="D38" s="15">
        <f t="shared" si="2"/>
        <v>1.1517356094076221</v>
      </c>
      <c r="F38" s="132">
        <v>0.2</v>
      </c>
      <c r="G38" s="15">
        <f t="shared" si="3"/>
        <v>-0.11665783390028997</v>
      </c>
      <c r="H38" s="133">
        <v>100</v>
      </c>
      <c r="I38" s="15">
        <f xml:space="preserve"> G38 * (thetaW  * 0.001 * H38 - DR2X)</f>
        <v>0.53309464614693269</v>
      </c>
    </row>
    <row r="41" spans="1:9" ht="27" customHeight="1" x14ac:dyDescent="0.2">
      <c r="A41" s="128"/>
      <c r="B41" s="227" t="s">
        <v>168</v>
      </c>
      <c r="C41" s="228"/>
      <c r="D41" s="228"/>
      <c r="E41" s="228"/>
      <c r="F41" s="229"/>
    </row>
    <row r="42" spans="1:9" ht="12" customHeight="1" x14ac:dyDescent="0.2">
      <c r="A42" s="129" t="s">
        <v>170</v>
      </c>
      <c r="B42" s="230" t="s">
        <v>18</v>
      </c>
      <c r="C42" s="231"/>
      <c r="D42" s="231"/>
      <c r="E42" s="231"/>
      <c r="F42" s="232"/>
    </row>
    <row r="43" spans="1:9" ht="16.5" customHeight="1" x14ac:dyDescent="0.2">
      <c r="A43" s="130"/>
      <c r="B43" s="160">
        <v>0.1</v>
      </c>
      <c r="C43" s="160">
        <v>0.2</v>
      </c>
      <c r="D43" s="160">
        <v>0.5</v>
      </c>
      <c r="E43" s="160">
        <v>0.8</v>
      </c>
      <c r="F43" s="160">
        <v>1</v>
      </c>
    </row>
    <row r="44" spans="1:9" ht="13.5" customHeight="1" x14ac:dyDescent="0.2">
      <c r="A44" s="130"/>
      <c r="B44" s="110">
        <f>1/(omega / B43 - 1/(M * lambdaSB))</f>
        <v>-6.5481469783003052E-2</v>
      </c>
      <c r="C44" s="110">
        <f>1/(omega / C43 - 1/(M * lambdaSB))</f>
        <v>-0.11665783390028997</v>
      </c>
      <c r="D44" s="110">
        <f>1/(omega / D43 - 1/(M * lambdaSB))</f>
        <v>-0.21966307278673114</v>
      </c>
      <c r="E44" s="110">
        <f>1/(omega / E43 - 1/(M * lambdaSB))</f>
        <v>-0.28188755967409124</v>
      </c>
      <c r="F44" s="110">
        <f>1/(omega / F43 - 1/(M * lambdaSB))</f>
        <v>-0.31127989443449244</v>
      </c>
    </row>
    <row r="45" spans="1:9" x14ac:dyDescent="0.2">
      <c r="A45" s="133">
        <v>-426</v>
      </c>
      <c r="B45" s="15">
        <f t="shared" ref="B45:F54" si="4" xml:space="preserve"> B$44 * (thetaW  * 0.001 * $A45 - DR2X)</f>
        <v>-3.3029252131418284E-4</v>
      </c>
      <c r="C45" s="15">
        <f t="shared" si="4"/>
        <v>-5.884292184898303E-4</v>
      </c>
      <c r="D45" s="15">
        <f t="shared" si="4"/>
        <v>-1.1079939163061183E-3</v>
      </c>
      <c r="E45" s="15">
        <f t="shared" si="4"/>
        <v>-1.4218580175490352E-3</v>
      </c>
      <c r="F45" s="15">
        <f t="shared" si="4"/>
        <v>-1.5701147440320335E-3</v>
      </c>
    </row>
    <row r="46" spans="1:9" x14ac:dyDescent="0.2">
      <c r="A46" s="133">
        <v>-400</v>
      </c>
      <c r="B46" s="15">
        <f t="shared" si="4"/>
        <v>1.4476996207979416E-2</v>
      </c>
      <c r="C46" s="15">
        <f t="shared" si="4"/>
        <v>2.5791342567633761E-2</v>
      </c>
      <c r="D46" s="15">
        <f t="shared" si="4"/>
        <v>4.8564295858124704E-2</v>
      </c>
      <c r="E46" s="15">
        <f t="shared" si="4"/>
        <v>6.2321220736215981E-2</v>
      </c>
      <c r="F46" s="15">
        <f t="shared" si="4"/>
        <v>6.8819436495270919E-2</v>
      </c>
    </row>
    <row r="47" spans="1:9" x14ac:dyDescent="0.2">
      <c r="A47" s="133">
        <v>-200</v>
      </c>
      <c r="B47" s="15">
        <f t="shared" si="4"/>
        <v>0.12837921720254536</v>
      </c>
      <c r="C47" s="15">
        <f t="shared" si="4"/>
        <v>0.22871266399935333</v>
      </c>
      <c r="D47" s="15">
        <f t="shared" si="4"/>
        <v>0.43065883258451498</v>
      </c>
      <c r="E47" s="15">
        <f t="shared" si="4"/>
        <v>0.55265259576517678</v>
      </c>
      <c r="F47" s="15">
        <f t="shared" si="4"/>
        <v>0.61027752295144655</v>
      </c>
    </row>
    <row r="48" spans="1:9" x14ac:dyDescent="0.2">
      <c r="A48" s="133">
        <v>0</v>
      </c>
      <c r="B48" s="15">
        <f t="shared" si="4"/>
        <v>0.24228143819711132</v>
      </c>
      <c r="C48" s="15">
        <f t="shared" si="4"/>
        <v>0.4316339854310729</v>
      </c>
      <c r="D48" s="15">
        <f t="shared" si="4"/>
        <v>0.81275336931090525</v>
      </c>
      <c r="E48" s="15">
        <f t="shared" si="4"/>
        <v>1.0429839707941377</v>
      </c>
      <c r="F48" s="15">
        <f t="shared" si="4"/>
        <v>1.1517356094076221</v>
      </c>
    </row>
    <row r="49" spans="1:6" x14ac:dyDescent="0.2">
      <c r="A49" s="133">
        <v>200</v>
      </c>
      <c r="B49" s="15">
        <f t="shared" si="4"/>
        <v>0.35618365919167727</v>
      </c>
      <c r="C49" s="15">
        <f t="shared" si="4"/>
        <v>0.63455530686279249</v>
      </c>
      <c r="D49" s="15">
        <f t="shared" si="4"/>
        <v>1.1948479060372956</v>
      </c>
      <c r="E49" s="15">
        <f t="shared" si="4"/>
        <v>1.5333153458230984</v>
      </c>
      <c r="F49" s="15">
        <f t="shared" si="4"/>
        <v>1.6931936958637976</v>
      </c>
    </row>
    <row r="50" spans="1:6" x14ac:dyDescent="0.2">
      <c r="A50" s="133">
        <v>400</v>
      </c>
      <c r="B50" s="15">
        <f t="shared" si="4"/>
        <v>0.4700858801862432</v>
      </c>
      <c r="C50" s="15">
        <f t="shared" si="4"/>
        <v>0.83747662829451208</v>
      </c>
      <c r="D50" s="15">
        <f t="shared" si="4"/>
        <v>1.5769424427636858</v>
      </c>
      <c r="E50" s="15">
        <f t="shared" si="4"/>
        <v>2.0236467208520592</v>
      </c>
      <c r="F50" s="15">
        <f t="shared" si="4"/>
        <v>2.2346517823199732</v>
      </c>
    </row>
    <row r="51" spans="1:6" x14ac:dyDescent="0.2">
      <c r="A51" s="133">
        <v>600</v>
      </c>
      <c r="B51" s="15">
        <f t="shared" si="4"/>
        <v>0.58398810118080913</v>
      </c>
      <c r="C51" s="15">
        <f t="shared" si="4"/>
        <v>1.0403979497262315</v>
      </c>
      <c r="D51" s="15">
        <f t="shared" si="4"/>
        <v>1.9590369794900759</v>
      </c>
      <c r="E51" s="15">
        <f t="shared" si="4"/>
        <v>2.5139780958810198</v>
      </c>
      <c r="F51" s="15">
        <f t="shared" si="4"/>
        <v>2.7761098687761487</v>
      </c>
    </row>
    <row r="52" spans="1:6" x14ac:dyDescent="0.2">
      <c r="A52" s="133">
        <v>800</v>
      </c>
      <c r="B52" s="15">
        <f t="shared" si="4"/>
        <v>0.69789032217537506</v>
      </c>
      <c r="C52" s="15">
        <f t="shared" si="4"/>
        <v>1.243319271157951</v>
      </c>
      <c r="D52" s="15">
        <f t="shared" si="4"/>
        <v>2.3411315162164663</v>
      </c>
      <c r="E52" s="15">
        <f t="shared" si="4"/>
        <v>3.0043094709099805</v>
      </c>
      <c r="F52" s="15">
        <f t="shared" si="4"/>
        <v>3.3175679552323243</v>
      </c>
    </row>
    <row r="53" spans="1:6" x14ac:dyDescent="0.2">
      <c r="A53" s="133">
        <v>1000</v>
      </c>
      <c r="B53" s="15">
        <f t="shared" si="4"/>
        <v>0.81179254316994098</v>
      </c>
      <c r="C53" s="15">
        <f t="shared" si="4"/>
        <v>1.4462405925896706</v>
      </c>
      <c r="D53" s="15">
        <f t="shared" si="4"/>
        <v>2.7232260529428562</v>
      </c>
      <c r="E53" s="15">
        <f t="shared" si="4"/>
        <v>3.4946408459389415</v>
      </c>
      <c r="F53" s="15">
        <f t="shared" si="4"/>
        <v>3.8590260416884998</v>
      </c>
    </row>
    <row r="54" spans="1:6" x14ac:dyDescent="0.2">
      <c r="A54" s="133">
        <v>1200</v>
      </c>
      <c r="B54" s="15">
        <f t="shared" si="4"/>
        <v>0.92569476416450691</v>
      </c>
      <c r="C54" s="15">
        <f t="shared" si="4"/>
        <v>1.6491619140213902</v>
      </c>
      <c r="D54" s="15">
        <f t="shared" si="4"/>
        <v>3.1053205896692466</v>
      </c>
      <c r="E54" s="15">
        <f t="shared" si="4"/>
        <v>3.9849722209679022</v>
      </c>
      <c r="F54" s="15">
        <f t="shared" si="4"/>
        <v>4.4004841281446749</v>
      </c>
    </row>
  </sheetData>
  <mergeCells count="2">
    <mergeCell ref="B41:F41"/>
    <mergeCell ref="B42:F42"/>
  </mergeCells>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Equation.DSMT4" shapeId="5167" r:id="rId4">
          <objectPr defaultSize="0" autoPict="0" r:id="rId5">
            <anchor moveWithCells="1">
              <from>
                <xdr:col>1</xdr:col>
                <xdr:colOff>314325</xdr:colOff>
                <xdr:row>12</xdr:row>
                <xdr:rowOff>9525</xdr:rowOff>
              </from>
              <to>
                <xdr:col>1</xdr:col>
                <xdr:colOff>828675</xdr:colOff>
                <xdr:row>12</xdr:row>
                <xdr:rowOff>266700</xdr:rowOff>
              </to>
            </anchor>
          </objectPr>
        </oleObject>
      </mc:Choice>
      <mc:Fallback>
        <oleObject progId="Equation.DSMT4" shapeId="5167" r:id="rId4"/>
      </mc:Fallback>
    </mc:AlternateContent>
    <mc:AlternateContent xmlns:mc="http://schemas.openxmlformats.org/markup-compatibility/2006">
      <mc:Choice Requires="x14">
        <oleObject progId="Equation.DSMT4" shapeId="5168" r:id="rId6">
          <objectPr defaultSize="0" autoPict="0" r:id="rId7">
            <anchor moveWithCells="1">
              <from>
                <xdr:col>0</xdr:col>
                <xdr:colOff>628650</xdr:colOff>
                <xdr:row>13</xdr:row>
                <xdr:rowOff>9525</xdr:rowOff>
              </from>
              <to>
                <xdr:col>1</xdr:col>
                <xdr:colOff>828675</xdr:colOff>
                <xdr:row>13</xdr:row>
                <xdr:rowOff>266700</xdr:rowOff>
              </to>
            </anchor>
          </objectPr>
        </oleObject>
      </mc:Choice>
      <mc:Fallback>
        <oleObject progId="Equation.DSMT4" shapeId="5168" r:id="rId6"/>
      </mc:Fallback>
    </mc:AlternateContent>
    <mc:AlternateContent xmlns:mc="http://schemas.openxmlformats.org/markup-compatibility/2006">
      <mc:Choice Requires="x14">
        <oleObject progId="Equation.DSMT4" shapeId="5213" r:id="rId8">
          <objectPr defaultSize="0" autoPict="0" r:id="rId9">
            <anchor moveWithCells="1">
              <from>
                <xdr:col>0</xdr:col>
                <xdr:colOff>514350</xdr:colOff>
                <xdr:row>16</xdr:row>
                <xdr:rowOff>9525</xdr:rowOff>
              </from>
              <to>
                <xdr:col>2</xdr:col>
                <xdr:colOff>0</xdr:colOff>
                <xdr:row>18</xdr:row>
                <xdr:rowOff>0</xdr:rowOff>
              </to>
            </anchor>
          </objectPr>
        </oleObject>
      </mc:Choice>
      <mc:Fallback>
        <oleObject progId="Equation.DSMT4" shapeId="5213" r:id="rId8"/>
      </mc:Fallback>
    </mc:AlternateContent>
    <mc:AlternateContent xmlns:mc="http://schemas.openxmlformats.org/markup-compatibility/2006">
      <mc:Choice Requires="x14">
        <oleObject progId="Equation.DSMT4" shapeId="5216" r:id="rId10">
          <objectPr defaultSize="0" autoPict="0" r:id="rId11">
            <anchor moveWithCells="1">
              <from>
                <xdr:col>10</xdr:col>
                <xdr:colOff>171450</xdr:colOff>
                <xdr:row>26</xdr:row>
                <xdr:rowOff>133350</xdr:rowOff>
              </from>
              <to>
                <xdr:col>12</xdr:col>
                <xdr:colOff>123825</xdr:colOff>
                <xdr:row>30</xdr:row>
                <xdr:rowOff>114300</xdr:rowOff>
              </to>
            </anchor>
          </objectPr>
        </oleObject>
      </mc:Choice>
      <mc:Fallback>
        <oleObject progId="Equation.DSMT4" shapeId="5216" r:id="rId10"/>
      </mc:Fallback>
    </mc:AlternateContent>
    <mc:AlternateContent xmlns:mc="http://schemas.openxmlformats.org/markup-compatibility/2006">
      <mc:Choice Requires="x14">
        <oleObject progId="Equation.DSMT4" shapeId="5217" r:id="rId12">
          <objectPr defaultSize="0" autoPict="0" r:id="rId13">
            <anchor moveWithCells="1">
              <from>
                <xdr:col>2</xdr:col>
                <xdr:colOff>266700</xdr:colOff>
                <xdr:row>25</xdr:row>
                <xdr:rowOff>85725</xdr:rowOff>
              </from>
              <to>
                <xdr:col>2</xdr:col>
                <xdr:colOff>571500</xdr:colOff>
                <xdr:row>25</xdr:row>
                <xdr:rowOff>323850</xdr:rowOff>
              </to>
            </anchor>
          </objectPr>
        </oleObject>
      </mc:Choice>
      <mc:Fallback>
        <oleObject progId="Equation.DSMT4" shapeId="5217" r:id="rId12"/>
      </mc:Fallback>
    </mc:AlternateContent>
    <mc:AlternateContent xmlns:mc="http://schemas.openxmlformats.org/markup-compatibility/2006">
      <mc:Choice Requires="x14">
        <oleObject progId="Equation.DSMT4" shapeId="5218" r:id="rId14">
          <objectPr defaultSize="0" autoPict="0" r:id="rId15">
            <anchor moveWithCells="1">
              <from>
                <xdr:col>3</xdr:col>
                <xdr:colOff>95250</xdr:colOff>
                <xdr:row>25</xdr:row>
                <xdr:rowOff>57150</xdr:rowOff>
              </from>
              <to>
                <xdr:col>3</xdr:col>
                <xdr:colOff>704850</xdr:colOff>
                <xdr:row>25</xdr:row>
                <xdr:rowOff>333375</xdr:rowOff>
              </to>
            </anchor>
          </objectPr>
        </oleObject>
      </mc:Choice>
      <mc:Fallback>
        <oleObject progId="Equation.DSMT4" shapeId="5218" r:id="rId14"/>
      </mc:Fallback>
    </mc:AlternateContent>
    <mc:AlternateContent xmlns:mc="http://schemas.openxmlformats.org/markup-compatibility/2006">
      <mc:Choice Requires="x14">
        <oleObject progId="Equation.DSMT4" shapeId="5220" r:id="rId16">
          <objectPr defaultSize="0" autoPict="0" r:id="rId17">
            <anchor moveWithCells="1">
              <from>
                <xdr:col>10</xdr:col>
                <xdr:colOff>171450</xdr:colOff>
                <xdr:row>32</xdr:row>
                <xdr:rowOff>38100</xdr:rowOff>
              </from>
              <to>
                <xdr:col>12</xdr:col>
                <xdr:colOff>600075</xdr:colOff>
                <xdr:row>34</xdr:row>
                <xdr:rowOff>28575</xdr:rowOff>
              </to>
            </anchor>
          </objectPr>
        </oleObject>
      </mc:Choice>
      <mc:Fallback>
        <oleObject progId="Equation.DSMT4" shapeId="5220" r:id="rId16"/>
      </mc:Fallback>
    </mc:AlternateContent>
    <mc:AlternateContent xmlns:mc="http://schemas.openxmlformats.org/markup-compatibility/2006">
      <mc:Choice Requires="x14">
        <oleObject progId="Equation.DSMT4" shapeId="5221" r:id="rId18">
          <objectPr defaultSize="0" autoPict="0" r:id="rId19">
            <anchor moveWithCells="1">
              <from>
                <xdr:col>0</xdr:col>
                <xdr:colOff>200025</xdr:colOff>
                <xdr:row>25</xdr:row>
                <xdr:rowOff>142875</xdr:rowOff>
              </from>
              <to>
                <xdr:col>0</xdr:col>
                <xdr:colOff>361950</xdr:colOff>
                <xdr:row>25</xdr:row>
                <xdr:rowOff>314325</xdr:rowOff>
              </to>
            </anchor>
          </objectPr>
        </oleObject>
      </mc:Choice>
      <mc:Fallback>
        <oleObject progId="Equation.DSMT4" shapeId="5221" r:id="rId18"/>
      </mc:Fallback>
    </mc:AlternateContent>
    <mc:AlternateContent xmlns:mc="http://schemas.openxmlformats.org/markup-compatibility/2006">
      <mc:Choice Requires="x14">
        <oleObject progId="Equation.DSMT4" shapeId="5225" r:id="rId20">
          <objectPr defaultSize="0" autoPict="0" r:id="rId21">
            <anchor moveWithCells="1">
              <from>
                <xdr:col>1</xdr:col>
                <xdr:colOff>381000</xdr:colOff>
                <xdr:row>25</xdr:row>
                <xdr:rowOff>95250</xdr:rowOff>
              </from>
              <to>
                <xdr:col>1</xdr:col>
                <xdr:colOff>523875</xdr:colOff>
                <xdr:row>25</xdr:row>
                <xdr:rowOff>323850</xdr:rowOff>
              </to>
            </anchor>
          </objectPr>
        </oleObject>
      </mc:Choice>
      <mc:Fallback>
        <oleObject progId="Equation.DSMT4" shapeId="5225" r:id="rId20"/>
      </mc:Fallback>
    </mc:AlternateContent>
    <mc:AlternateContent xmlns:mc="http://schemas.openxmlformats.org/markup-compatibility/2006">
      <mc:Choice Requires="x14">
        <oleObject progId="Equation.DSMT4" shapeId="5226" r:id="rId22">
          <objectPr defaultSize="0" autoPict="0" r:id="rId19">
            <anchor moveWithCells="1">
              <from>
                <xdr:col>5</xdr:col>
                <xdr:colOff>285750</xdr:colOff>
                <xdr:row>25</xdr:row>
                <xdr:rowOff>142875</xdr:rowOff>
              </from>
              <to>
                <xdr:col>5</xdr:col>
                <xdr:colOff>447675</xdr:colOff>
                <xdr:row>25</xdr:row>
                <xdr:rowOff>314325</xdr:rowOff>
              </to>
            </anchor>
          </objectPr>
        </oleObject>
      </mc:Choice>
      <mc:Fallback>
        <oleObject progId="Equation.DSMT4" shapeId="5226" r:id="rId22"/>
      </mc:Fallback>
    </mc:AlternateContent>
    <mc:AlternateContent xmlns:mc="http://schemas.openxmlformats.org/markup-compatibility/2006">
      <mc:Choice Requires="x14">
        <oleObject progId="Equation.DSMT4" shapeId="5229" r:id="rId23">
          <objectPr defaultSize="0" autoPict="0" r:id="rId24">
            <anchor moveWithCells="1">
              <from>
                <xdr:col>7</xdr:col>
                <xdr:colOff>228600</xdr:colOff>
                <xdr:row>25</xdr:row>
                <xdr:rowOff>85725</xdr:rowOff>
              </from>
              <to>
                <xdr:col>7</xdr:col>
                <xdr:colOff>561975</xdr:colOff>
                <xdr:row>25</xdr:row>
                <xdr:rowOff>333375</xdr:rowOff>
              </to>
            </anchor>
          </objectPr>
        </oleObject>
      </mc:Choice>
      <mc:Fallback>
        <oleObject progId="Equation.DSMT4" shapeId="5229" r:id="rId23"/>
      </mc:Fallback>
    </mc:AlternateContent>
    <mc:AlternateContent xmlns:mc="http://schemas.openxmlformats.org/markup-compatibility/2006">
      <mc:Choice Requires="x14">
        <oleObject progId="Equation.DSMT4" shapeId="5230" r:id="rId25">
          <objectPr defaultSize="0" autoPict="0" r:id="rId21">
            <anchor moveWithCells="1">
              <from>
                <xdr:col>6</xdr:col>
                <xdr:colOff>381000</xdr:colOff>
                <xdr:row>25</xdr:row>
                <xdr:rowOff>95250</xdr:rowOff>
              </from>
              <to>
                <xdr:col>6</xdr:col>
                <xdr:colOff>523875</xdr:colOff>
                <xdr:row>25</xdr:row>
                <xdr:rowOff>323850</xdr:rowOff>
              </to>
            </anchor>
          </objectPr>
        </oleObject>
      </mc:Choice>
      <mc:Fallback>
        <oleObject progId="Equation.DSMT4" shapeId="5230" r:id="rId25"/>
      </mc:Fallback>
    </mc:AlternateContent>
    <mc:AlternateContent xmlns:mc="http://schemas.openxmlformats.org/markup-compatibility/2006">
      <mc:Choice Requires="x14">
        <oleObject progId="Equation.DSMT4" shapeId="5231" r:id="rId26">
          <objectPr defaultSize="0" autoPict="0" r:id="rId24">
            <anchor moveWithCells="1">
              <from>
                <xdr:col>0</xdr:col>
                <xdr:colOff>190500</xdr:colOff>
                <xdr:row>40</xdr:row>
                <xdr:rowOff>66675</xdr:rowOff>
              </from>
              <to>
                <xdr:col>0</xdr:col>
                <xdr:colOff>523875</xdr:colOff>
                <xdr:row>40</xdr:row>
                <xdr:rowOff>314325</xdr:rowOff>
              </to>
            </anchor>
          </objectPr>
        </oleObject>
      </mc:Choice>
      <mc:Fallback>
        <oleObject progId="Equation.DSMT4" shapeId="5231" r:id="rId26"/>
      </mc:Fallback>
    </mc:AlternateContent>
    <mc:AlternateContent xmlns:mc="http://schemas.openxmlformats.org/markup-compatibility/2006">
      <mc:Choice Requires="x14">
        <oleObject progId="Equation.DSMT4" shapeId="5232" r:id="rId27">
          <objectPr defaultSize="0" autoPict="0" r:id="rId28">
            <anchor moveWithCells="1">
              <from>
                <xdr:col>0</xdr:col>
                <xdr:colOff>171450</xdr:colOff>
                <xdr:row>42</xdr:row>
                <xdr:rowOff>47625</xdr:rowOff>
              </from>
              <to>
                <xdr:col>0</xdr:col>
                <xdr:colOff>504825</xdr:colOff>
                <xdr:row>43</xdr:row>
                <xdr:rowOff>0</xdr:rowOff>
              </to>
            </anchor>
          </objectPr>
        </oleObject>
      </mc:Choice>
      <mc:Fallback>
        <oleObject progId="Equation.DSMT4" shapeId="5232" r:id="rId27"/>
      </mc:Fallback>
    </mc:AlternateContent>
    <mc:AlternateContent xmlns:mc="http://schemas.openxmlformats.org/markup-compatibility/2006">
      <mc:Choice Requires="x14">
        <oleObject progId="Equation.DSMT4" shapeId="5234" r:id="rId29">
          <objectPr defaultSize="0" autoPict="0" r:id="rId30">
            <anchor moveWithCells="1">
              <from>
                <xdr:col>0</xdr:col>
                <xdr:colOff>190500</xdr:colOff>
                <xdr:row>43</xdr:row>
                <xdr:rowOff>0</xdr:rowOff>
              </from>
              <to>
                <xdr:col>0</xdr:col>
                <xdr:colOff>495300</xdr:colOff>
                <xdr:row>44</xdr:row>
                <xdr:rowOff>19050</xdr:rowOff>
              </to>
            </anchor>
          </objectPr>
        </oleObject>
      </mc:Choice>
      <mc:Fallback>
        <oleObject progId="Equation.DSMT4" shapeId="5234" r:id="rId29"/>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tabColor rgb="FFFFFF00"/>
  </sheetPr>
  <dimension ref="A1:AG46"/>
  <sheetViews>
    <sheetView zoomScaleNormal="100" workbookViewId="0">
      <selection activeCell="X57" sqref="X57"/>
    </sheetView>
  </sheetViews>
  <sheetFormatPr defaultRowHeight="12" x14ac:dyDescent="0.2"/>
  <cols>
    <col min="1" max="1" width="6.5703125" style="6" customWidth="1"/>
    <col min="2" max="2" width="9.85546875" style="6" customWidth="1"/>
    <col min="3" max="3" width="10.7109375" style="6" customWidth="1"/>
    <col min="4" max="4" width="7.5703125" style="6" customWidth="1"/>
    <col min="5" max="5" width="9.5703125" style="6" customWidth="1"/>
    <col min="6" max="6" width="7.28515625" style="6" customWidth="1"/>
    <col min="7" max="7" width="6.28515625" style="6" customWidth="1"/>
    <col min="8" max="8" width="8.85546875" style="6" customWidth="1"/>
    <col min="9" max="10" width="7.42578125" style="6" customWidth="1"/>
    <col min="11" max="11" width="6.7109375" style="6" customWidth="1"/>
    <col min="12" max="13" width="7.140625" style="6" customWidth="1"/>
    <col min="14" max="14" width="6.7109375" style="6" customWidth="1"/>
    <col min="15" max="15" width="6.85546875" style="6" customWidth="1"/>
    <col min="16" max="16" width="7.28515625" style="6" customWidth="1"/>
    <col min="17" max="17" width="7.5703125" style="6" customWidth="1"/>
    <col min="18" max="18" width="7" style="6" customWidth="1"/>
    <col min="19" max="19" width="7.140625" style="6" customWidth="1"/>
    <col min="20" max="20" width="8.5703125" style="6" customWidth="1"/>
    <col min="21" max="21" width="7.7109375" style="6" customWidth="1"/>
    <col min="22" max="22" width="7.28515625" style="6" customWidth="1"/>
    <col min="23" max="26" width="7.5703125" style="6" customWidth="1"/>
    <col min="27" max="32" width="7.28515625" style="6" customWidth="1"/>
    <col min="33" max="33" width="8.140625" style="6" customWidth="1"/>
    <col min="34" max="16384" width="9.140625" style="6"/>
  </cols>
  <sheetData>
    <row r="1" spans="1:33" s="147" customFormat="1" ht="23.25" x14ac:dyDescent="0.2">
      <c r="A1" s="146" t="s">
        <v>230</v>
      </c>
    </row>
    <row r="3" spans="1:33" ht="12" customHeight="1" x14ac:dyDescent="0.2">
      <c r="A3" s="165" t="s">
        <v>165</v>
      </c>
      <c r="B3" s="166"/>
      <c r="C3" s="166"/>
      <c r="D3" s="164" t="s">
        <v>231</v>
      </c>
      <c r="E3" s="163"/>
      <c r="F3" s="163"/>
      <c r="G3" s="163"/>
      <c r="H3" s="163"/>
      <c r="I3" s="163"/>
      <c r="J3" s="163"/>
      <c r="K3" s="163"/>
      <c r="L3" s="163"/>
      <c r="M3" s="163"/>
      <c r="N3" s="163"/>
      <c r="O3" s="163"/>
      <c r="P3" s="163"/>
      <c r="Q3" s="168" t="s">
        <v>264</v>
      </c>
      <c r="R3" s="169"/>
      <c r="S3" s="169"/>
      <c r="T3" s="169"/>
      <c r="U3" s="169"/>
      <c r="V3" s="169"/>
      <c r="W3" s="169"/>
      <c r="X3" s="169"/>
      <c r="Y3" s="169"/>
      <c r="Z3" s="169"/>
      <c r="AA3" s="169"/>
      <c r="AB3" s="169"/>
      <c r="AC3" s="169"/>
      <c r="AD3" s="169"/>
      <c r="AE3" s="169"/>
      <c r="AF3" s="169"/>
      <c r="AG3" s="169"/>
    </row>
    <row r="4" spans="1:33" ht="12" customHeight="1" x14ac:dyDescent="0.2">
      <c r="A4" s="165"/>
      <c r="B4" s="166"/>
      <c r="C4" s="166"/>
      <c r="D4" s="164"/>
      <c r="E4" s="163"/>
      <c r="F4" s="163"/>
      <c r="G4" s="163"/>
      <c r="H4" s="163"/>
      <c r="I4" s="163"/>
      <c r="J4" s="163"/>
      <c r="K4" s="163"/>
      <c r="L4" s="163"/>
      <c r="M4" s="163"/>
      <c r="N4" s="163"/>
      <c r="O4" s="163"/>
      <c r="P4" s="163"/>
      <c r="Q4" s="170" t="s">
        <v>159</v>
      </c>
      <c r="R4" s="171"/>
      <c r="S4" s="171"/>
      <c r="T4" s="172" t="s">
        <v>240</v>
      </c>
      <c r="U4" s="173"/>
      <c r="V4" s="173"/>
      <c r="W4" s="173"/>
      <c r="X4" s="173"/>
      <c r="Y4" s="173"/>
      <c r="Z4" s="173"/>
      <c r="AA4" s="173"/>
      <c r="AB4" s="173"/>
      <c r="AC4" s="173"/>
      <c r="AD4" s="173"/>
      <c r="AE4" s="173"/>
      <c r="AF4" s="173"/>
      <c r="AG4" s="173"/>
    </row>
    <row r="5" spans="1:33" ht="25.5" customHeight="1" x14ac:dyDescent="0.2">
      <c r="A5" s="9" t="s">
        <v>232</v>
      </c>
      <c r="B5" s="9" t="s">
        <v>166</v>
      </c>
      <c r="C5" s="9" t="s">
        <v>167</v>
      </c>
      <c r="D5" s="9"/>
      <c r="E5" s="9"/>
      <c r="F5" s="9"/>
      <c r="G5" s="9"/>
      <c r="H5" s="9"/>
      <c r="I5" s="9"/>
      <c r="J5" s="9"/>
      <c r="K5" s="134"/>
      <c r="L5" s="134"/>
      <c r="M5" s="134"/>
      <c r="N5" s="134"/>
      <c r="O5" s="134"/>
      <c r="P5" s="134"/>
      <c r="Q5" s="135"/>
      <c r="R5" s="136"/>
      <c r="S5" s="9"/>
      <c r="T5" s="135"/>
      <c r="U5" s="136"/>
      <c r="V5" s="9"/>
      <c r="W5" s="136"/>
      <c r="X5" s="136"/>
      <c r="Y5" s="136"/>
      <c r="Z5" s="134"/>
      <c r="AA5" s="9"/>
      <c r="AB5" s="9"/>
      <c r="AC5" s="9"/>
      <c r="AD5" s="9"/>
      <c r="AE5" s="9"/>
      <c r="AF5" s="9"/>
      <c r="AG5" s="9"/>
    </row>
    <row r="6" spans="1:33" ht="24" x14ac:dyDescent="0.2">
      <c r="A6" s="9"/>
      <c r="B6" s="9"/>
      <c r="C6" s="9"/>
      <c r="D6" s="9" t="s">
        <v>18</v>
      </c>
      <c r="E6" s="9" t="s">
        <v>18</v>
      </c>
      <c r="F6" s="9" t="s">
        <v>18</v>
      </c>
      <c r="G6" s="9" t="s">
        <v>169</v>
      </c>
      <c r="H6" s="9" t="s">
        <v>169</v>
      </c>
      <c r="I6" s="9" t="s">
        <v>169</v>
      </c>
      <c r="J6" s="9">
        <v>1</v>
      </c>
      <c r="K6" s="9" t="s">
        <v>170</v>
      </c>
      <c r="L6" s="9" t="s">
        <v>170</v>
      </c>
      <c r="M6" s="9" t="s">
        <v>118</v>
      </c>
      <c r="N6" s="9" t="s">
        <v>23</v>
      </c>
      <c r="O6" s="9" t="s">
        <v>170</v>
      </c>
      <c r="P6" s="9" t="s">
        <v>19</v>
      </c>
      <c r="Q6" s="9" t="s">
        <v>64</v>
      </c>
      <c r="R6" s="156" t="s">
        <v>23</v>
      </c>
      <c r="S6" s="9" t="s">
        <v>18</v>
      </c>
      <c r="T6" s="9" t="s">
        <v>64</v>
      </c>
      <c r="U6" s="10" t="s">
        <v>23</v>
      </c>
      <c r="V6" s="9" t="s">
        <v>18</v>
      </c>
      <c r="W6" s="156" t="s">
        <v>19</v>
      </c>
      <c r="X6" s="156" t="s">
        <v>18</v>
      </c>
      <c r="Y6" s="156" t="s">
        <v>18</v>
      </c>
      <c r="Z6" s="9" t="s">
        <v>23</v>
      </c>
      <c r="AA6" s="9" t="s">
        <v>19</v>
      </c>
      <c r="AB6" s="9" t="s">
        <v>19</v>
      </c>
      <c r="AC6" s="9" t="s">
        <v>19</v>
      </c>
      <c r="AD6" s="9" t="s">
        <v>19</v>
      </c>
      <c r="AE6" s="9" t="s">
        <v>19</v>
      </c>
      <c r="AF6" s="9" t="s">
        <v>19</v>
      </c>
      <c r="AG6" s="9" t="s">
        <v>19</v>
      </c>
    </row>
    <row r="7" spans="1:33" x14ac:dyDescent="0.2">
      <c r="A7" s="174" t="s">
        <v>171</v>
      </c>
      <c r="B7" s="175">
        <v>1973</v>
      </c>
      <c r="C7" s="202">
        <v>2011</v>
      </c>
      <c r="D7" s="176">
        <v>-0.157</v>
      </c>
      <c r="E7" s="176">
        <v>0.35699999999999998</v>
      </c>
      <c r="F7" s="177">
        <f t="shared" ref="F7:F37" si="0" xml:space="preserve"> E7 - D7</f>
        <v>0.51400000000000001</v>
      </c>
      <c r="G7" s="178">
        <v>330</v>
      </c>
      <c r="H7" s="179">
        <v>392</v>
      </c>
      <c r="I7" s="200">
        <f t="shared" ref="I7:I37" si="1" xml:space="preserve"> H7 - G7</f>
        <v>62</v>
      </c>
      <c r="J7" s="177">
        <f t="shared" ref="J7:J37" si="2" xml:space="preserve"> LN(H7 / G7) / LN(2)</f>
        <v>0.24838762986939253</v>
      </c>
      <c r="K7" s="180">
        <v>0</v>
      </c>
      <c r="L7" s="181">
        <v>0</v>
      </c>
      <c r="M7" s="177">
        <v>0</v>
      </c>
      <c r="N7" s="208">
        <v>0</v>
      </c>
      <c r="O7" s="179">
        <v>0</v>
      </c>
      <c r="P7" s="204">
        <f t="shared" ref="P7:P37" si="3" xml:space="preserve"> thetaW * deltaHW * 0.001 + thetaU * deltaHU * 0.001 + gPartial * deltaGamma + DBeta * deltaBeta * 0.01 + thetaM * deltaHM * 0.001</f>
        <v>0</v>
      </c>
      <c r="Q7" s="182">
        <f t="shared" ref="Q7:Q37" si="4" xml:space="preserve"> M * lambdaSB * ((omega * deltaTS - thetaW * deltaHW * 0.001) / (DR2X * deltaL) + 1)</f>
        <v>0.13383436984427491</v>
      </c>
      <c r="R7" s="183">
        <f t="shared" ref="R7:R37" si="5" xml:space="preserve"> 100 * lambdaCSimple * DR2X * deltaL / deltaTS</f>
        <v>23.929643405939228</v>
      </c>
      <c r="S7" s="204">
        <f t="shared" ref="S7:S37" si="6" xml:space="preserve">  lambdaCSimple * DR2X</f>
        <v>0.49518716842381716</v>
      </c>
      <c r="T7" s="182">
        <f t="shared" ref="T7:T37" si="7" xml:space="preserve"> M * lambdaSB * ((omega * deltaTS - deltaQ) / (DR2X * deltaL) + 1)</f>
        <v>0.13383436984427491</v>
      </c>
      <c r="U7" s="183">
        <f t="shared" ref="U7:U37" si="8" xml:space="preserve"> 100 * lambdaC * DR2X * deltaL / deltaTS</f>
        <v>23.929643405939228</v>
      </c>
      <c r="V7" s="210">
        <f t="shared" ref="V7:V37" si="9" xml:space="preserve">  lambdaC * DR2X</f>
        <v>0.49518716842381716</v>
      </c>
      <c r="W7" s="182">
        <f t="shared" ref="W7:W37" si="10" xml:space="preserve"> tau * deltaTS + deltaQ - DR2X * deltaL</f>
        <v>0.73221279568065978</v>
      </c>
      <c r="X7" s="182">
        <f t="shared" ref="X7:X37" si="11" xml:space="preserve"> M * lambdaSB * deltaR</f>
        <v>0.39100163289347234</v>
      </c>
      <c r="Y7" s="182">
        <f t="shared" ref="Y7:Y37" si="12" xml:space="preserve"> lambdaC * DR2X * deltaL</f>
        <v>0.12299836710652763</v>
      </c>
      <c r="Z7" s="184">
        <f t="shared" ref="Z7:Z37" si="13" xml:space="preserve"> 100 * deltaGamma / lapseRate0</f>
        <v>0</v>
      </c>
      <c r="AA7" s="184">
        <f t="shared" ref="AA7:AA37" si="14" xml:space="preserve"> omega * deltaTS</f>
        <v>-0.68870020971801149</v>
      </c>
      <c r="AB7" s="184">
        <f t="shared" ref="AB7:AB37" si="15" xml:space="preserve"> thetaW * deltaHW * 0.001</f>
        <v>0</v>
      </c>
      <c r="AC7" s="184">
        <f t="shared" ref="AC7:AC37" si="16">thetaU * deltaHU * 0.001</f>
        <v>0</v>
      </c>
      <c r="AD7" s="184">
        <f t="shared" ref="AD7:AD37" si="17" xml:space="preserve"> gPartial * deltaGamma</f>
        <v>0</v>
      </c>
      <c r="AE7" s="184">
        <f t="shared" ref="AE7:AE37" si="18">DBeta * deltaBeta * 0.01</f>
        <v>0</v>
      </c>
      <c r="AF7" s="184">
        <f t="shared" ref="AF7:AF37" si="19" xml:space="preserve"> thetaM * deltaHM * 0.001</f>
        <v>0</v>
      </c>
      <c r="AG7" s="185">
        <f t="shared" ref="AG7:AG37" si="20" xml:space="preserve"> DR2X * deltaL</f>
        <v>0.91903423051675237</v>
      </c>
    </row>
    <row r="8" spans="1:33" x14ac:dyDescent="0.2">
      <c r="A8" s="186" t="s">
        <v>172</v>
      </c>
      <c r="B8" s="187">
        <v>1973</v>
      </c>
      <c r="C8" s="203">
        <v>2011</v>
      </c>
      <c r="D8" s="188">
        <v>-0.157</v>
      </c>
      <c r="E8" s="188">
        <v>0.35699999999999998</v>
      </c>
      <c r="F8" s="189">
        <f t="shared" si="0"/>
        <v>0.51400000000000001</v>
      </c>
      <c r="G8" s="190">
        <v>330</v>
      </c>
      <c r="H8" s="191">
        <v>392</v>
      </c>
      <c r="I8" s="201">
        <f t="shared" si="1"/>
        <v>62</v>
      </c>
      <c r="J8" s="189">
        <f t="shared" si="2"/>
        <v>0.24838762986939253</v>
      </c>
      <c r="K8" s="192">
        <v>25</v>
      </c>
      <c r="L8" s="193">
        <v>0</v>
      </c>
      <c r="M8" s="189">
        <v>0</v>
      </c>
      <c r="N8" s="209">
        <v>0</v>
      </c>
      <c r="O8" s="191">
        <v>0</v>
      </c>
      <c r="P8" s="205">
        <f t="shared" si="3"/>
        <v>-0.21743216319827363</v>
      </c>
      <c r="Q8" s="195">
        <f t="shared" si="4"/>
        <v>0.26017218327108577</v>
      </c>
      <c r="R8" s="167">
        <f t="shared" si="5"/>
        <v>46.518899271285171</v>
      </c>
      <c r="S8" s="205">
        <f t="shared" si="6"/>
        <v>0.96263707810301735</v>
      </c>
      <c r="T8" s="195">
        <f t="shared" si="7"/>
        <v>0.26017218327108577</v>
      </c>
      <c r="U8" s="167">
        <f t="shared" si="8"/>
        <v>46.518899271285171</v>
      </c>
      <c r="V8" s="211">
        <f t="shared" si="9"/>
        <v>0.96263707810301735</v>
      </c>
      <c r="W8" s="195">
        <f t="shared" si="10"/>
        <v>0.51478063248238615</v>
      </c>
      <c r="X8" s="195">
        <f t="shared" si="11"/>
        <v>0.27489285774559424</v>
      </c>
      <c r="Y8" s="195">
        <f t="shared" si="12"/>
        <v>0.23910714225440577</v>
      </c>
      <c r="Z8" s="196">
        <f t="shared" si="13"/>
        <v>0</v>
      </c>
      <c r="AA8" s="196">
        <f t="shared" si="14"/>
        <v>-0.68870020971801149</v>
      </c>
      <c r="AB8" s="196">
        <f t="shared" si="15"/>
        <v>-0.21743216319827363</v>
      </c>
      <c r="AC8" s="196">
        <f t="shared" si="16"/>
        <v>0</v>
      </c>
      <c r="AD8" s="196">
        <f t="shared" si="17"/>
        <v>0</v>
      </c>
      <c r="AE8" s="196">
        <f t="shared" si="18"/>
        <v>0</v>
      </c>
      <c r="AF8" s="196">
        <f t="shared" si="19"/>
        <v>0</v>
      </c>
      <c r="AG8" s="197">
        <f t="shared" si="20"/>
        <v>0.91903423051675237</v>
      </c>
    </row>
    <row r="9" spans="1:33" x14ac:dyDescent="0.2">
      <c r="A9" s="186" t="s">
        <v>173</v>
      </c>
      <c r="B9" s="187">
        <v>1973</v>
      </c>
      <c r="C9" s="203">
        <v>2011</v>
      </c>
      <c r="D9" s="188">
        <v>-0.157</v>
      </c>
      <c r="E9" s="188">
        <v>0.35699999999999998</v>
      </c>
      <c r="F9" s="189">
        <f t="shared" si="0"/>
        <v>0.51400000000000001</v>
      </c>
      <c r="G9" s="190">
        <v>330</v>
      </c>
      <c r="H9" s="191">
        <v>392</v>
      </c>
      <c r="I9" s="201">
        <f t="shared" si="1"/>
        <v>62</v>
      </c>
      <c r="J9" s="189">
        <f t="shared" si="2"/>
        <v>0.24838762986939253</v>
      </c>
      <c r="K9" s="192">
        <v>-25</v>
      </c>
      <c r="L9" s="193">
        <v>0</v>
      </c>
      <c r="M9" s="189">
        <v>0</v>
      </c>
      <c r="N9" s="209">
        <v>0</v>
      </c>
      <c r="O9" s="191">
        <v>0</v>
      </c>
      <c r="P9" s="205">
        <f t="shared" si="3"/>
        <v>0.21743216319827363</v>
      </c>
      <c r="Q9" s="195">
        <f t="shared" si="4"/>
        <v>7.4965564174640795E-3</v>
      </c>
      <c r="R9" s="167">
        <f t="shared" si="5"/>
        <v>1.3403875405932923</v>
      </c>
      <c r="S9" s="205">
        <f t="shared" si="6"/>
        <v>2.7737258744617094E-2</v>
      </c>
      <c r="T9" s="195">
        <f t="shared" si="7"/>
        <v>7.4965564174640795E-3</v>
      </c>
      <c r="U9" s="167">
        <f t="shared" si="8"/>
        <v>1.3403875405932923</v>
      </c>
      <c r="V9" s="211">
        <f t="shared" si="9"/>
        <v>2.7737258744617094E-2</v>
      </c>
      <c r="W9" s="195">
        <f t="shared" si="10"/>
        <v>0.94964495887893341</v>
      </c>
      <c r="X9" s="195">
        <f t="shared" si="11"/>
        <v>0.50711040804135044</v>
      </c>
      <c r="Y9" s="195">
        <f t="shared" si="12"/>
        <v>6.8895919586495222E-3</v>
      </c>
      <c r="Z9" s="196">
        <f t="shared" si="13"/>
        <v>0</v>
      </c>
      <c r="AA9" s="196">
        <f t="shared" si="14"/>
        <v>-0.68870020971801149</v>
      </c>
      <c r="AB9" s="196">
        <f t="shared" si="15"/>
        <v>0.21743216319827363</v>
      </c>
      <c r="AC9" s="196">
        <f t="shared" si="16"/>
        <v>0</v>
      </c>
      <c r="AD9" s="196">
        <f t="shared" si="17"/>
        <v>0</v>
      </c>
      <c r="AE9" s="196">
        <f t="shared" si="18"/>
        <v>0</v>
      </c>
      <c r="AF9" s="196">
        <f t="shared" si="19"/>
        <v>0</v>
      </c>
      <c r="AG9" s="197">
        <f t="shared" si="20"/>
        <v>0.91903423051675237</v>
      </c>
    </row>
    <row r="10" spans="1:33" x14ac:dyDescent="0.2">
      <c r="A10" s="206" t="s">
        <v>174</v>
      </c>
      <c r="B10" s="187">
        <v>1973</v>
      </c>
      <c r="C10" s="203">
        <v>2011</v>
      </c>
      <c r="D10" s="188">
        <v>-0.157</v>
      </c>
      <c r="E10" s="188">
        <v>0.35699999999999998</v>
      </c>
      <c r="F10" s="189">
        <f t="shared" si="0"/>
        <v>0.51400000000000001</v>
      </c>
      <c r="G10" s="190">
        <v>330</v>
      </c>
      <c r="H10" s="191">
        <v>392</v>
      </c>
      <c r="I10" s="201">
        <f t="shared" si="1"/>
        <v>62</v>
      </c>
      <c r="J10" s="189">
        <f t="shared" si="2"/>
        <v>0.24838762986939253</v>
      </c>
      <c r="K10" s="192">
        <v>0</v>
      </c>
      <c r="L10" s="193">
        <v>0</v>
      </c>
      <c r="M10" s="189">
        <f t="shared" ref="M10:M17" si="21" xml:space="preserve"> -deltaTS * fLR / gUniform</f>
        <v>-2.2902009748984053E-2</v>
      </c>
      <c r="N10" s="209">
        <v>-0.5</v>
      </c>
      <c r="O10" s="191">
        <v>0</v>
      </c>
      <c r="P10" s="205">
        <f t="shared" si="3"/>
        <v>0.42521665297966377</v>
      </c>
      <c r="Q10" s="195">
        <f t="shared" si="4"/>
        <v>0.13383436984427491</v>
      </c>
      <c r="R10" s="167">
        <f t="shared" si="5"/>
        <v>23.929643405939228</v>
      </c>
      <c r="S10" s="205">
        <f t="shared" si="6"/>
        <v>0.49518716842381716</v>
      </c>
      <c r="T10" s="195">
        <f t="shared" si="7"/>
        <v>-0.11323552717519353</v>
      </c>
      <c r="U10" s="167">
        <f t="shared" si="8"/>
        <v>-20.246561397784589</v>
      </c>
      <c r="V10" s="207">
        <f t="shared" si="9"/>
        <v>-0.41897145054821605</v>
      </c>
      <c r="W10" s="195">
        <f t="shared" si="10"/>
        <v>1.1574294486603236</v>
      </c>
      <c r="X10" s="195">
        <f t="shared" si="11"/>
        <v>0.61806732558461286</v>
      </c>
      <c r="Y10" s="195">
        <f t="shared" si="12"/>
        <v>-0.10406732558461279</v>
      </c>
      <c r="Z10" s="196">
        <f t="shared" si="13"/>
        <v>-0.35233861152283158</v>
      </c>
      <c r="AA10" s="196">
        <f t="shared" si="14"/>
        <v>-0.68870020971801149</v>
      </c>
      <c r="AB10" s="196">
        <f t="shared" si="15"/>
        <v>0</v>
      </c>
      <c r="AC10" s="196">
        <f t="shared" si="16"/>
        <v>0</v>
      </c>
      <c r="AD10" s="196">
        <f t="shared" si="17"/>
        <v>0.21553923362482505</v>
      </c>
      <c r="AE10" s="196">
        <f t="shared" si="18"/>
        <v>0.20967741935483872</v>
      </c>
      <c r="AF10" s="196">
        <f t="shared" si="19"/>
        <v>0</v>
      </c>
      <c r="AG10" s="197">
        <f t="shared" si="20"/>
        <v>0.91903423051675237</v>
      </c>
    </row>
    <row r="11" spans="1:33" x14ac:dyDescent="0.2">
      <c r="A11" s="206" t="s">
        <v>255</v>
      </c>
      <c r="B11" s="187">
        <v>1973</v>
      </c>
      <c r="C11" s="203">
        <v>2011</v>
      </c>
      <c r="D11" s="188">
        <f xml:space="preserve"> (-0.016) - 0.5 * ((-0.016) - (-0.157))</f>
        <v>-8.6500000000000007E-2</v>
      </c>
      <c r="E11" s="188">
        <v>0.35699999999999998</v>
      </c>
      <c r="F11" s="189">
        <f t="shared" si="0"/>
        <v>0.44350000000000001</v>
      </c>
      <c r="G11" s="190">
        <v>330</v>
      </c>
      <c r="H11" s="191">
        <v>392</v>
      </c>
      <c r="I11" s="201">
        <f t="shared" si="1"/>
        <v>62</v>
      </c>
      <c r="J11" s="189">
        <f t="shared" si="2"/>
        <v>0.24838762986939253</v>
      </c>
      <c r="K11" s="192">
        <v>0</v>
      </c>
      <c r="L11" s="193">
        <v>0</v>
      </c>
      <c r="M11" s="189">
        <f t="shared" si="21"/>
        <v>-1.9760780785358808E-2</v>
      </c>
      <c r="N11" s="209">
        <v>-0.25</v>
      </c>
      <c r="O11" s="191">
        <v>0</v>
      </c>
      <c r="P11" s="205">
        <f t="shared" si="3"/>
        <v>0.29081468265915073</v>
      </c>
      <c r="Q11" s="195">
        <f t="shared" si="4"/>
        <v>0.18872090082866913</v>
      </c>
      <c r="R11" s="167">
        <f t="shared" si="5"/>
        <v>39.10732082874955</v>
      </c>
      <c r="S11" s="205">
        <f t="shared" si="6"/>
        <v>0.6982673330660758</v>
      </c>
      <c r="T11" s="195">
        <f t="shared" si="7"/>
        <v>1.9744560902062027E-2</v>
      </c>
      <c r="U11" s="167">
        <f t="shared" si="8"/>
        <v>4.0915281478055761</v>
      </c>
      <c r="V11" s="207">
        <f t="shared" si="9"/>
        <v>7.3054875337629499E-2</v>
      </c>
      <c r="W11" s="195">
        <f t="shared" si="10"/>
        <v>0.79654320723685801</v>
      </c>
      <c r="X11" s="195">
        <f t="shared" si="11"/>
        <v>0.42535407266448222</v>
      </c>
      <c r="Y11" s="195">
        <f t="shared" si="12"/>
        <v>1.8145927335517727E-2</v>
      </c>
      <c r="Z11" s="196">
        <f t="shared" si="13"/>
        <v>-0.30401201208244316</v>
      </c>
      <c r="AA11" s="196">
        <f t="shared" si="14"/>
        <v>-0.59423841052517135</v>
      </c>
      <c r="AB11" s="196">
        <f t="shared" si="15"/>
        <v>0</v>
      </c>
      <c r="AC11" s="196">
        <f t="shared" si="16"/>
        <v>0</v>
      </c>
      <c r="AD11" s="196">
        <f t="shared" si="17"/>
        <v>0.18597597298173135</v>
      </c>
      <c r="AE11" s="196">
        <f t="shared" si="18"/>
        <v>0.10483870967741936</v>
      </c>
      <c r="AF11" s="196">
        <f t="shared" si="19"/>
        <v>0</v>
      </c>
      <c r="AG11" s="197">
        <f t="shared" si="20"/>
        <v>0.91903423051675237</v>
      </c>
    </row>
    <row r="12" spans="1:33" x14ac:dyDescent="0.2">
      <c r="A12" s="206" t="s">
        <v>256</v>
      </c>
      <c r="B12" s="187">
        <v>1973</v>
      </c>
      <c r="C12" s="203">
        <v>2011</v>
      </c>
      <c r="D12" s="188">
        <v>-0.157</v>
      </c>
      <c r="E12" s="188">
        <v>0.35699999999999998</v>
      </c>
      <c r="F12" s="189">
        <f t="shared" si="0"/>
        <v>0.51400000000000001</v>
      </c>
      <c r="G12" s="190">
        <v>330</v>
      </c>
      <c r="H12" s="191">
        <v>392</v>
      </c>
      <c r="I12" s="201">
        <f t="shared" si="1"/>
        <v>62</v>
      </c>
      <c r="J12" s="189">
        <f t="shared" si="2"/>
        <v>0.24838762986939253</v>
      </c>
      <c r="K12" s="192">
        <v>-25</v>
      </c>
      <c r="L12" s="193">
        <v>100</v>
      </c>
      <c r="M12" s="189">
        <f t="shared" si="21"/>
        <v>-2.2902009748984053E-2</v>
      </c>
      <c r="N12" s="209">
        <v>-0.5</v>
      </c>
      <c r="O12" s="191">
        <v>0</v>
      </c>
      <c r="P12" s="205">
        <f t="shared" si="3"/>
        <v>0.17958738219858683</v>
      </c>
      <c r="Q12" s="195">
        <f t="shared" si="4"/>
        <v>7.4965564174640795E-3</v>
      </c>
      <c r="R12" s="167">
        <f t="shared" si="5"/>
        <v>1.3403875405932923</v>
      </c>
      <c r="S12" s="205">
        <f t="shared" si="6"/>
        <v>2.7737258744617094E-2</v>
      </c>
      <c r="T12" s="195">
        <f t="shared" si="7"/>
        <v>2.9486067126406477E-2</v>
      </c>
      <c r="U12" s="167">
        <f t="shared" si="8"/>
        <v>5.2721215977591989</v>
      </c>
      <c r="V12" s="207">
        <f t="shared" si="9"/>
        <v>0.10909844836770397</v>
      </c>
      <c r="W12" s="195">
        <f t="shared" si="10"/>
        <v>0.91180017787924672</v>
      </c>
      <c r="X12" s="195">
        <f t="shared" si="11"/>
        <v>0.48690129498751777</v>
      </c>
      <c r="Y12" s="195">
        <f t="shared" si="12"/>
        <v>2.7098705012482283E-2</v>
      </c>
      <c r="Z12" s="196">
        <f t="shared" si="13"/>
        <v>-0.35233861152283158</v>
      </c>
      <c r="AA12" s="196">
        <f t="shared" si="14"/>
        <v>-0.68870020971801149</v>
      </c>
      <c r="AB12" s="196">
        <f t="shared" si="15"/>
        <v>0.21743216319827363</v>
      </c>
      <c r="AC12" s="196">
        <f t="shared" si="16"/>
        <v>-0.46306143397935057</v>
      </c>
      <c r="AD12" s="196">
        <f t="shared" si="17"/>
        <v>0.21553923362482505</v>
      </c>
      <c r="AE12" s="196">
        <f t="shared" si="18"/>
        <v>0.20967741935483872</v>
      </c>
      <c r="AF12" s="196">
        <f t="shared" si="19"/>
        <v>0</v>
      </c>
      <c r="AG12" s="197">
        <f t="shared" si="20"/>
        <v>0.91903423051675237</v>
      </c>
    </row>
    <row r="13" spans="1:33" x14ac:dyDescent="0.2">
      <c r="A13" s="206" t="s">
        <v>257</v>
      </c>
      <c r="B13" s="187">
        <v>1973</v>
      </c>
      <c r="C13" s="203">
        <v>2011</v>
      </c>
      <c r="D13" s="188">
        <v>-0.157</v>
      </c>
      <c r="E13" s="188">
        <v>0.35699999999999998</v>
      </c>
      <c r="F13" s="189">
        <f t="shared" si="0"/>
        <v>0.51400000000000001</v>
      </c>
      <c r="G13" s="190">
        <v>330</v>
      </c>
      <c r="H13" s="191">
        <v>392</v>
      </c>
      <c r="I13" s="201">
        <f t="shared" si="1"/>
        <v>62</v>
      </c>
      <c r="J13" s="189">
        <f t="shared" si="2"/>
        <v>0.24838762986939253</v>
      </c>
      <c r="K13" s="192">
        <v>0</v>
      </c>
      <c r="L13" s="193">
        <v>200</v>
      </c>
      <c r="M13" s="189">
        <f t="shared" si="21"/>
        <v>-2.2902009748984053E-2</v>
      </c>
      <c r="N13" s="209">
        <v>-0.5</v>
      </c>
      <c r="O13" s="191">
        <v>0</v>
      </c>
      <c r="P13" s="205">
        <f t="shared" si="3"/>
        <v>-0.50090621497903731</v>
      </c>
      <c r="Q13" s="195">
        <f t="shared" si="4"/>
        <v>0.13383436984427491</v>
      </c>
      <c r="R13" s="167">
        <f t="shared" si="5"/>
        <v>23.929643405939228</v>
      </c>
      <c r="S13" s="205">
        <f t="shared" si="6"/>
        <v>0.49518716842381716</v>
      </c>
      <c r="T13" s="195">
        <f t="shared" si="7"/>
        <v>0.42488328828162814</v>
      </c>
      <c r="U13" s="167">
        <f t="shared" si="8"/>
        <v>75.96931632399486</v>
      </c>
      <c r="V13" s="207">
        <f t="shared" si="9"/>
        <v>1.5720681666420242</v>
      </c>
      <c r="W13" s="195">
        <f t="shared" si="10"/>
        <v>0.23130658070162247</v>
      </c>
      <c r="X13" s="195">
        <f t="shared" si="11"/>
        <v>0.1235177140946664</v>
      </c>
      <c r="Y13" s="195">
        <f t="shared" si="12"/>
        <v>0.39048228590533363</v>
      </c>
      <c r="Z13" s="196">
        <f t="shared" si="13"/>
        <v>-0.35233861152283158</v>
      </c>
      <c r="AA13" s="196">
        <f t="shared" si="14"/>
        <v>-0.68870020971801149</v>
      </c>
      <c r="AB13" s="196">
        <f t="shared" si="15"/>
        <v>0</v>
      </c>
      <c r="AC13" s="196">
        <f t="shared" si="16"/>
        <v>-0.92612286795870113</v>
      </c>
      <c r="AD13" s="196">
        <f t="shared" si="17"/>
        <v>0.21553923362482505</v>
      </c>
      <c r="AE13" s="196">
        <f t="shared" si="18"/>
        <v>0.20967741935483872</v>
      </c>
      <c r="AF13" s="196">
        <f t="shared" si="19"/>
        <v>0</v>
      </c>
      <c r="AG13" s="197">
        <f t="shared" si="20"/>
        <v>0.91903423051675237</v>
      </c>
    </row>
    <row r="14" spans="1:33" ht="12" customHeight="1" x14ac:dyDescent="0.2">
      <c r="A14" s="198" t="s">
        <v>258</v>
      </c>
      <c r="B14" s="187">
        <v>1973</v>
      </c>
      <c r="C14" s="203">
        <v>2011</v>
      </c>
      <c r="D14" s="188">
        <v>-0.157</v>
      </c>
      <c r="E14" s="188">
        <v>0.35699999999999998</v>
      </c>
      <c r="F14" s="189">
        <f t="shared" si="0"/>
        <v>0.51400000000000001</v>
      </c>
      <c r="G14" s="190">
        <v>330</v>
      </c>
      <c r="H14" s="191">
        <v>392</v>
      </c>
      <c r="I14" s="201">
        <f t="shared" si="1"/>
        <v>62</v>
      </c>
      <c r="J14" s="189">
        <f t="shared" si="2"/>
        <v>0.24838762986939253</v>
      </c>
      <c r="K14" s="192">
        <v>-25</v>
      </c>
      <c r="L14" s="193">
        <v>200</v>
      </c>
      <c r="M14" s="189">
        <f t="shared" si="21"/>
        <v>-2.2902009748984053E-2</v>
      </c>
      <c r="N14" s="209">
        <v>-1.5</v>
      </c>
      <c r="O14" s="191">
        <v>0</v>
      </c>
      <c r="P14" s="205">
        <f t="shared" si="3"/>
        <v>0.1358807869289137</v>
      </c>
      <c r="Q14" s="195">
        <f t="shared" si="4"/>
        <v>7.4965564174640795E-3</v>
      </c>
      <c r="R14" s="167">
        <f t="shared" si="5"/>
        <v>1.3403875405932923</v>
      </c>
      <c r="S14" s="205">
        <f t="shared" si="6"/>
        <v>2.7737258744617094E-2</v>
      </c>
      <c r="T14" s="195">
        <f t="shared" si="7"/>
        <v>5.4881554148562585E-2</v>
      </c>
      <c r="U14" s="167">
        <f t="shared" si="8"/>
        <v>9.8128456977602525</v>
      </c>
      <c r="V14" s="195">
        <f t="shared" si="9"/>
        <v>0.20306175034968157</v>
      </c>
      <c r="W14" s="195">
        <f t="shared" si="10"/>
        <v>0.86809358260957337</v>
      </c>
      <c r="X14" s="195">
        <f t="shared" si="11"/>
        <v>0.46356197311351222</v>
      </c>
      <c r="Y14" s="195">
        <f t="shared" si="12"/>
        <v>5.0438026886487693E-2</v>
      </c>
      <c r="Z14" s="196">
        <f t="shared" si="13"/>
        <v>-0.35233861152283158</v>
      </c>
      <c r="AA14" s="196">
        <f t="shared" si="14"/>
        <v>-0.68870020971801149</v>
      </c>
      <c r="AB14" s="196">
        <f t="shared" si="15"/>
        <v>0.21743216319827363</v>
      </c>
      <c r="AC14" s="196">
        <f t="shared" si="16"/>
        <v>-0.92612286795870113</v>
      </c>
      <c r="AD14" s="196">
        <f t="shared" si="17"/>
        <v>0.21553923362482505</v>
      </c>
      <c r="AE14" s="196">
        <f t="shared" si="18"/>
        <v>0.62903225806451613</v>
      </c>
      <c r="AF14" s="196">
        <f t="shared" si="19"/>
        <v>0</v>
      </c>
      <c r="AG14" s="197">
        <f t="shared" si="20"/>
        <v>0.91903423051675237</v>
      </c>
    </row>
    <row r="15" spans="1:33" ht="12" customHeight="1" x14ac:dyDescent="0.2">
      <c r="A15" s="198" t="s">
        <v>259</v>
      </c>
      <c r="B15" s="187">
        <v>1973</v>
      </c>
      <c r="C15" s="203">
        <v>2011</v>
      </c>
      <c r="D15" s="188">
        <v>-0.157</v>
      </c>
      <c r="E15" s="188">
        <v>0.35699999999999998</v>
      </c>
      <c r="F15" s="189">
        <f t="shared" si="0"/>
        <v>0.51400000000000001</v>
      </c>
      <c r="G15" s="190">
        <v>330</v>
      </c>
      <c r="H15" s="191">
        <v>392</v>
      </c>
      <c r="I15" s="201">
        <f t="shared" si="1"/>
        <v>62</v>
      </c>
      <c r="J15" s="189">
        <f t="shared" si="2"/>
        <v>0.24838762986939253</v>
      </c>
      <c r="K15" s="192">
        <v>0</v>
      </c>
      <c r="L15" s="193">
        <v>0</v>
      </c>
      <c r="M15" s="189">
        <f t="shared" si="21"/>
        <v>-2.2902009748984053E-2</v>
      </c>
      <c r="N15" s="209">
        <v>-0.5</v>
      </c>
      <c r="O15" s="191">
        <v>400</v>
      </c>
      <c r="P15" s="205">
        <f t="shared" si="3"/>
        <v>0.21578689139977106</v>
      </c>
      <c r="Q15" s="195">
        <f t="shared" si="4"/>
        <v>0.13383436984427491</v>
      </c>
      <c r="R15" s="167">
        <f t="shared" si="5"/>
        <v>23.929643405939228</v>
      </c>
      <c r="S15" s="205">
        <f t="shared" si="6"/>
        <v>0.49518716842381716</v>
      </c>
      <c r="T15" s="195">
        <f t="shared" si="7"/>
        <v>8.4525329319693043E-3</v>
      </c>
      <c r="U15" s="167">
        <f t="shared" si="8"/>
        <v>1.5113165562353927</v>
      </c>
      <c r="V15" s="195">
        <f t="shared" si="9"/>
        <v>3.1274371848286429E-2</v>
      </c>
      <c r="W15" s="195">
        <f t="shared" si="10"/>
        <v>0.94799968708043092</v>
      </c>
      <c r="X15" s="195">
        <f t="shared" si="11"/>
        <v>0.50623183290095009</v>
      </c>
      <c r="Y15" s="195">
        <f t="shared" si="12"/>
        <v>7.7681670990499187E-3</v>
      </c>
      <c r="Z15" s="196">
        <f t="shared" si="13"/>
        <v>-0.35233861152283158</v>
      </c>
      <c r="AA15" s="196">
        <f t="shared" si="14"/>
        <v>-0.68870020971801149</v>
      </c>
      <c r="AB15" s="196">
        <f t="shared" si="15"/>
        <v>0</v>
      </c>
      <c r="AC15" s="196">
        <f t="shared" si="16"/>
        <v>0</v>
      </c>
      <c r="AD15" s="196">
        <f t="shared" si="17"/>
        <v>0.21553923362482505</v>
      </c>
      <c r="AE15" s="196">
        <f t="shared" si="18"/>
        <v>0.20967741935483872</v>
      </c>
      <c r="AF15" s="196">
        <f t="shared" si="19"/>
        <v>-0.20942976157989271</v>
      </c>
      <c r="AG15" s="197">
        <f t="shared" si="20"/>
        <v>0.91903423051675237</v>
      </c>
    </row>
    <row r="16" spans="1:33" ht="12" customHeight="1" x14ac:dyDescent="0.2">
      <c r="A16" s="198" t="s">
        <v>262</v>
      </c>
      <c r="B16" s="187">
        <v>1973</v>
      </c>
      <c r="C16" s="203">
        <v>2011</v>
      </c>
      <c r="D16" s="188">
        <f xml:space="preserve"> (-0.016) - 0.5 * ((-0.016) - (-0.157))</f>
        <v>-8.6500000000000007E-2</v>
      </c>
      <c r="E16" s="188">
        <v>0.35699999999999998</v>
      </c>
      <c r="F16" s="189">
        <f t="shared" si="0"/>
        <v>0.44350000000000001</v>
      </c>
      <c r="G16" s="190">
        <v>330</v>
      </c>
      <c r="H16" s="191">
        <v>392</v>
      </c>
      <c r="I16" s="201">
        <f t="shared" si="1"/>
        <v>62</v>
      </c>
      <c r="J16" s="189">
        <f t="shared" si="2"/>
        <v>0.24838762986939253</v>
      </c>
      <c r="K16" s="192">
        <v>0</v>
      </c>
      <c r="L16" s="193">
        <v>93</v>
      </c>
      <c r="M16" s="189">
        <f t="shared" si="21"/>
        <v>-1.9760780785358808E-2</v>
      </c>
      <c r="N16" s="209">
        <v>-0.25</v>
      </c>
      <c r="O16" s="191">
        <v>0</v>
      </c>
      <c r="P16" s="205">
        <f t="shared" si="3"/>
        <v>-0.13983245094164531</v>
      </c>
      <c r="Q16" s="195">
        <f t="shared" si="4"/>
        <v>0.18872090082866913</v>
      </c>
      <c r="R16" s="167">
        <f t="shared" si="5"/>
        <v>39.10732082874955</v>
      </c>
      <c r="S16" s="205">
        <f t="shared" si="6"/>
        <v>0.6982673330660758</v>
      </c>
      <c r="T16" s="195">
        <f t="shared" si="7"/>
        <v>0.26996981008948417</v>
      </c>
      <c r="U16" s="167">
        <f t="shared" si="8"/>
        <v>55.943967683955549</v>
      </c>
      <c r="V16" s="195">
        <f t="shared" si="9"/>
        <v>0.99888829733109152</v>
      </c>
      <c r="W16" s="195">
        <f t="shared" si="10"/>
        <v>0.36589607363606202</v>
      </c>
      <c r="X16" s="195">
        <f t="shared" si="11"/>
        <v>0.19538850332165714</v>
      </c>
      <c r="Y16" s="195">
        <f t="shared" si="12"/>
        <v>0.24811149667834287</v>
      </c>
      <c r="Z16" s="196">
        <f t="shared" si="13"/>
        <v>-0.30401201208244316</v>
      </c>
      <c r="AA16" s="196">
        <f t="shared" si="14"/>
        <v>-0.59423841052517135</v>
      </c>
      <c r="AB16" s="196">
        <f t="shared" si="15"/>
        <v>0</v>
      </c>
      <c r="AC16" s="196">
        <f t="shared" si="16"/>
        <v>-0.43064713360079604</v>
      </c>
      <c r="AD16" s="196">
        <f t="shared" si="17"/>
        <v>0.18597597298173135</v>
      </c>
      <c r="AE16" s="196">
        <f t="shared" si="18"/>
        <v>0.10483870967741936</v>
      </c>
      <c r="AF16" s="196">
        <f t="shared" si="19"/>
        <v>0</v>
      </c>
      <c r="AG16" s="197">
        <f t="shared" si="20"/>
        <v>0.91903423051675237</v>
      </c>
    </row>
    <row r="17" spans="1:33" ht="12" customHeight="1" x14ac:dyDescent="0.2">
      <c r="A17" s="198" t="s">
        <v>263</v>
      </c>
      <c r="B17" s="187">
        <v>1973</v>
      </c>
      <c r="C17" s="203">
        <v>2011</v>
      </c>
      <c r="D17" s="188">
        <f xml:space="preserve"> (-0.016) - 0.5 * ((-0.016) - (-0.157))</f>
        <v>-8.6500000000000007E-2</v>
      </c>
      <c r="E17" s="188">
        <v>0.35699999999999998</v>
      </c>
      <c r="F17" s="189">
        <f t="shared" si="0"/>
        <v>0.44350000000000001</v>
      </c>
      <c r="G17" s="190">
        <v>330</v>
      </c>
      <c r="H17" s="191">
        <v>392</v>
      </c>
      <c r="I17" s="201">
        <f t="shared" si="1"/>
        <v>62</v>
      </c>
      <c r="J17" s="189">
        <f t="shared" si="2"/>
        <v>0.24838762986939253</v>
      </c>
      <c r="K17" s="192">
        <v>0</v>
      </c>
      <c r="L17" s="193">
        <v>50</v>
      </c>
      <c r="M17" s="189">
        <f t="shared" si="21"/>
        <v>-1.9760780785358808E-2</v>
      </c>
      <c r="N17" s="209">
        <v>-0.5</v>
      </c>
      <c r="O17" s="191">
        <v>0</v>
      </c>
      <c r="P17" s="205">
        <f t="shared" si="3"/>
        <v>0.16412267534689479</v>
      </c>
      <c r="Q17" s="195">
        <f t="shared" si="4"/>
        <v>0.18872090082866913</v>
      </c>
      <c r="R17" s="167">
        <f t="shared" si="5"/>
        <v>39.10732082874955</v>
      </c>
      <c r="S17" s="205">
        <f t="shared" si="6"/>
        <v>0.6982673330660758</v>
      </c>
      <c r="T17" s="195">
        <f t="shared" si="7"/>
        <v>9.3358284589703827E-2</v>
      </c>
      <c r="U17" s="167">
        <f t="shared" si="8"/>
        <v>19.345988554737868</v>
      </c>
      <c r="V17" s="195">
        <f t="shared" si="9"/>
        <v>0.3454256529819042</v>
      </c>
      <c r="W17" s="195">
        <f t="shared" si="10"/>
        <v>0.66985119992460207</v>
      </c>
      <c r="X17" s="195">
        <f t="shared" si="11"/>
        <v>0.35770054075973751</v>
      </c>
      <c r="Y17" s="195">
        <f t="shared" si="12"/>
        <v>8.5799459240262443E-2</v>
      </c>
      <c r="Z17" s="196">
        <f t="shared" si="13"/>
        <v>-0.30401201208244316</v>
      </c>
      <c r="AA17" s="196">
        <f t="shared" si="14"/>
        <v>-0.59423841052517135</v>
      </c>
      <c r="AB17" s="196">
        <f t="shared" si="15"/>
        <v>0</v>
      </c>
      <c r="AC17" s="196">
        <f t="shared" si="16"/>
        <v>-0.23153071698967528</v>
      </c>
      <c r="AD17" s="196">
        <f t="shared" si="17"/>
        <v>0.18597597298173135</v>
      </c>
      <c r="AE17" s="196">
        <f t="shared" si="18"/>
        <v>0.20967741935483872</v>
      </c>
      <c r="AF17" s="196">
        <f t="shared" si="19"/>
        <v>0</v>
      </c>
      <c r="AG17" s="197">
        <f t="shared" si="20"/>
        <v>0.91903423051675237</v>
      </c>
    </row>
    <row r="18" spans="1:33" x14ac:dyDescent="0.2">
      <c r="A18" s="186" t="s">
        <v>175</v>
      </c>
      <c r="B18" s="187">
        <v>1948</v>
      </c>
      <c r="C18" s="203">
        <v>2011</v>
      </c>
      <c r="D18" s="188">
        <v>-0.13100000000000001</v>
      </c>
      <c r="E18" s="188">
        <v>0.35699999999999998</v>
      </c>
      <c r="F18" s="189">
        <f t="shared" si="0"/>
        <v>0.48799999999999999</v>
      </c>
      <c r="G18" s="190">
        <v>311</v>
      </c>
      <c r="H18" s="191">
        <v>392</v>
      </c>
      <c r="I18" s="201">
        <f t="shared" si="1"/>
        <v>81</v>
      </c>
      <c r="J18" s="189">
        <f t="shared" si="2"/>
        <v>0.33393907398460576</v>
      </c>
      <c r="K18" s="192">
        <v>0</v>
      </c>
      <c r="L18" s="193">
        <v>0</v>
      </c>
      <c r="M18" s="189">
        <v>0</v>
      </c>
      <c r="N18" s="209">
        <v>0</v>
      </c>
      <c r="O18" s="191">
        <v>0</v>
      </c>
      <c r="P18" s="205">
        <f t="shared" si="3"/>
        <v>0</v>
      </c>
      <c r="Q18" s="195">
        <f t="shared" si="4"/>
        <v>0.25140842321866436</v>
      </c>
      <c r="R18" s="167">
        <f t="shared" si="5"/>
        <v>63.654478556108891</v>
      </c>
      <c r="S18" s="205">
        <f t="shared" si="6"/>
        <v>0.93021116590905817</v>
      </c>
      <c r="T18" s="195">
        <f t="shared" si="7"/>
        <v>0.25140842321866436</v>
      </c>
      <c r="U18" s="167">
        <f t="shared" si="8"/>
        <v>63.654478556108891</v>
      </c>
      <c r="V18" s="211">
        <f t="shared" si="9"/>
        <v>0.93021116590905817</v>
      </c>
      <c r="W18" s="195">
        <f t="shared" si="10"/>
        <v>0.33214633828874285</v>
      </c>
      <c r="X18" s="195">
        <f t="shared" si="11"/>
        <v>0.17736614464618869</v>
      </c>
      <c r="Y18" s="195">
        <f t="shared" si="12"/>
        <v>0.31063385535381138</v>
      </c>
      <c r="Z18" s="196">
        <f t="shared" si="13"/>
        <v>0</v>
      </c>
      <c r="AA18" s="196">
        <f t="shared" si="14"/>
        <v>-0.65386323412916258</v>
      </c>
      <c r="AB18" s="196">
        <f t="shared" si="15"/>
        <v>0</v>
      </c>
      <c r="AC18" s="196">
        <f t="shared" si="16"/>
        <v>0</v>
      </c>
      <c r="AD18" s="196">
        <f t="shared" si="17"/>
        <v>0</v>
      </c>
      <c r="AE18" s="196">
        <f t="shared" si="18"/>
        <v>0</v>
      </c>
      <c r="AF18" s="196">
        <f t="shared" si="19"/>
        <v>0</v>
      </c>
      <c r="AG18" s="197">
        <f t="shared" si="20"/>
        <v>1.2355745737430415</v>
      </c>
    </row>
    <row r="19" spans="1:33" x14ac:dyDescent="0.2">
      <c r="A19" s="186" t="s">
        <v>176</v>
      </c>
      <c r="B19" s="187">
        <v>1948</v>
      </c>
      <c r="C19" s="203">
        <v>2011</v>
      </c>
      <c r="D19" s="188">
        <v>-0.13100000000000001</v>
      </c>
      <c r="E19" s="188">
        <v>0.35699999999999998</v>
      </c>
      <c r="F19" s="189">
        <f t="shared" si="0"/>
        <v>0.48799999999999999</v>
      </c>
      <c r="G19" s="190">
        <v>311</v>
      </c>
      <c r="H19" s="191">
        <v>392</v>
      </c>
      <c r="I19" s="201">
        <f t="shared" si="1"/>
        <v>81</v>
      </c>
      <c r="J19" s="189">
        <f t="shared" si="2"/>
        <v>0.33393907398460576</v>
      </c>
      <c r="K19" s="192">
        <v>50</v>
      </c>
      <c r="L19" s="193">
        <v>0</v>
      </c>
      <c r="M19" s="189">
        <v>0</v>
      </c>
      <c r="N19" s="209">
        <v>0</v>
      </c>
      <c r="O19" s="191">
        <v>0</v>
      </c>
      <c r="P19" s="205">
        <f t="shared" si="3"/>
        <v>-0.43486432639654726</v>
      </c>
      <c r="Q19" s="195">
        <f t="shared" si="4"/>
        <v>0.43935138937430307</v>
      </c>
      <c r="R19" s="167">
        <f t="shared" si="5"/>
        <v>111.24004214130483</v>
      </c>
      <c r="S19" s="205">
        <f t="shared" si="6"/>
        <v>1.6256001406849214</v>
      </c>
      <c r="T19" s="195">
        <f t="shared" si="7"/>
        <v>0.43935138937430307</v>
      </c>
      <c r="U19" s="167">
        <f t="shared" si="8"/>
        <v>111.24004214130483</v>
      </c>
      <c r="V19" s="211">
        <f t="shared" si="9"/>
        <v>1.6256001406849214</v>
      </c>
      <c r="W19" s="195">
        <f t="shared" si="10"/>
        <v>-0.10271798810780441</v>
      </c>
      <c r="X19" s="195">
        <f t="shared" si="11"/>
        <v>-5.4851405649567558E-2</v>
      </c>
      <c r="Y19" s="195">
        <f t="shared" si="12"/>
        <v>0.54285140564956746</v>
      </c>
      <c r="Z19" s="196">
        <f t="shared" si="13"/>
        <v>0</v>
      </c>
      <c r="AA19" s="196">
        <f t="shared" si="14"/>
        <v>-0.65386323412916258</v>
      </c>
      <c r="AB19" s="196">
        <f t="shared" si="15"/>
        <v>-0.43486432639654726</v>
      </c>
      <c r="AC19" s="196">
        <f t="shared" si="16"/>
        <v>0</v>
      </c>
      <c r="AD19" s="196">
        <f t="shared" si="17"/>
        <v>0</v>
      </c>
      <c r="AE19" s="196">
        <f t="shared" si="18"/>
        <v>0</v>
      </c>
      <c r="AF19" s="196">
        <f t="shared" si="19"/>
        <v>0</v>
      </c>
      <c r="AG19" s="197">
        <f t="shared" si="20"/>
        <v>1.2355745737430415</v>
      </c>
    </row>
    <row r="20" spans="1:33" x14ac:dyDescent="0.2">
      <c r="A20" s="186" t="s">
        <v>177</v>
      </c>
      <c r="B20" s="187">
        <v>1948</v>
      </c>
      <c r="C20" s="203">
        <v>2011</v>
      </c>
      <c r="D20" s="188">
        <v>-0.13100000000000001</v>
      </c>
      <c r="E20" s="188">
        <v>0.35699999999999998</v>
      </c>
      <c r="F20" s="189">
        <f t="shared" si="0"/>
        <v>0.48799999999999999</v>
      </c>
      <c r="G20" s="190">
        <v>311</v>
      </c>
      <c r="H20" s="191">
        <v>392</v>
      </c>
      <c r="I20" s="201">
        <f t="shared" si="1"/>
        <v>81</v>
      </c>
      <c r="J20" s="189">
        <f t="shared" si="2"/>
        <v>0.33393907398460576</v>
      </c>
      <c r="K20" s="192">
        <v>-50</v>
      </c>
      <c r="L20" s="193">
        <v>0</v>
      </c>
      <c r="M20" s="189">
        <v>0</v>
      </c>
      <c r="N20" s="209">
        <v>0</v>
      </c>
      <c r="O20" s="191">
        <v>0</v>
      </c>
      <c r="P20" s="205">
        <f t="shared" si="3"/>
        <v>0.43486432639654726</v>
      </c>
      <c r="Q20" s="195">
        <f t="shared" si="4"/>
        <v>6.3465457063025574E-2</v>
      </c>
      <c r="R20" s="167">
        <f t="shared" si="5"/>
        <v>16.068914970912935</v>
      </c>
      <c r="S20" s="205">
        <f t="shared" si="6"/>
        <v>0.23482219113319464</v>
      </c>
      <c r="T20" s="195">
        <f t="shared" si="7"/>
        <v>6.3465457063025574E-2</v>
      </c>
      <c r="U20" s="167">
        <f t="shared" si="8"/>
        <v>16.068914970912935</v>
      </c>
      <c r="V20" s="211">
        <f t="shared" si="9"/>
        <v>0.23482219113319464</v>
      </c>
      <c r="W20" s="195">
        <f t="shared" si="10"/>
        <v>0.76701066468529011</v>
      </c>
      <c r="X20" s="195">
        <f t="shared" si="11"/>
        <v>0.40958369494194496</v>
      </c>
      <c r="Y20" s="195">
        <f t="shared" si="12"/>
        <v>7.8416305058055122E-2</v>
      </c>
      <c r="Z20" s="196">
        <f t="shared" si="13"/>
        <v>0</v>
      </c>
      <c r="AA20" s="196">
        <f t="shared" si="14"/>
        <v>-0.65386323412916258</v>
      </c>
      <c r="AB20" s="196">
        <f t="shared" si="15"/>
        <v>0.43486432639654726</v>
      </c>
      <c r="AC20" s="196">
        <f t="shared" si="16"/>
        <v>0</v>
      </c>
      <c r="AD20" s="196">
        <f t="shared" si="17"/>
        <v>0</v>
      </c>
      <c r="AE20" s="196">
        <f t="shared" si="18"/>
        <v>0</v>
      </c>
      <c r="AF20" s="196">
        <f t="shared" si="19"/>
        <v>0</v>
      </c>
      <c r="AG20" s="197">
        <f t="shared" si="20"/>
        <v>1.2355745737430415</v>
      </c>
    </row>
    <row r="21" spans="1:33" x14ac:dyDescent="0.2">
      <c r="A21" s="206" t="s">
        <v>178</v>
      </c>
      <c r="B21" s="187">
        <v>1948</v>
      </c>
      <c r="C21" s="203">
        <v>2011</v>
      </c>
      <c r="D21" s="188">
        <v>-0.13100000000000001</v>
      </c>
      <c r="E21" s="188">
        <v>0.35699999999999998</v>
      </c>
      <c r="F21" s="189">
        <f t="shared" si="0"/>
        <v>0.48799999999999999</v>
      </c>
      <c r="G21" s="190">
        <v>311</v>
      </c>
      <c r="H21" s="191">
        <v>392</v>
      </c>
      <c r="I21" s="201">
        <f t="shared" si="1"/>
        <v>81</v>
      </c>
      <c r="J21" s="189">
        <f t="shared" si="2"/>
        <v>0.33393907398460576</v>
      </c>
      <c r="K21" s="192">
        <v>0</v>
      </c>
      <c r="L21" s="193">
        <v>0</v>
      </c>
      <c r="M21" s="189">
        <f t="shared" ref="M21:M31" si="22" xml:space="preserve"> -deltaTS * fLR / gUniform</f>
        <v>-2.1743542329774743E-2</v>
      </c>
      <c r="N21" s="209">
        <v>-0.5</v>
      </c>
      <c r="O21" s="191">
        <v>0</v>
      </c>
      <c r="P21" s="205">
        <f t="shared" si="3"/>
        <v>0.41431389018930298</v>
      </c>
      <c r="Q21" s="195">
        <f t="shared" si="4"/>
        <v>0.25140842321866436</v>
      </c>
      <c r="R21" s="167">
        <f t="shared" si="5"/>
        <v>63.654478556108891</v>
      </c>
      <c r="S21" s="205">
        <f t="shared" si="6"/>
        <v>0.93021116590905817</v>
      </c>
      <c r="T21" s="195">
        <f t="shared" si="7"/>
        <v>7.2347100605935341E-2</v>
      </c>
      <c r="U21" s="167">
        <f t="shared" si="8"/>
        <v>18.317671719820385</v>
      </c>
      <c r="V21" s="207">
        <f t="shared" si="9"/>
        <v>0.26768427224196079</v>
      </c>
      <c r="W21" s="195">
        <f t="shared" si="10"/>
        <v>0.74646022847804594</v>
      </c>
      <c r="X21" s="195">
        <f t="shared" si="11"/>
        <v>0.39860976200727655</v>
      </c>
      <c r="Y21" s="195">
        <f t="shared" si="12"/>
        <v>8.9390237992723498E-2</v>
      </c>
      <c r="Z21" s="196">
        <f t="shared" si="13"/>
        <v>-0.33451603584268835</v>
      </c>
      <c r="AA21" s="196">
        <f t="shared" si="14"/>
        <v>-0.65386323412916258</v>
      </c>
      <c r="AB21" s="196">
        <f t="shared" si="15"/>
        <v>0</v>
      </c>
      <c r="AC21" s="196">
        <f t="shared" si="16"/>
        <v>0</v>
      </c>
      <c r="AD21" s="196">
        <f t="shared" si="17"/>
        <v>0.20463647083446426</v>
      </c>
      <c r="AE21" s="196">
        <f t="shared" si="18"/>
        <v>0.20967741935483872</v>
      </c>
      <c r="AF21" s="196">
        <f t="shared" si="19"/>
        <v>0</v>
      </c>
      <c r="AG21" s="197">
        <f t="shared" si="20"/>
        <v>1.2355745737430415</v>
      </c>
    </row>
    <row r="22" spans="1:33" x14ac:dyDescent="0.2">
      <c r="A22" s="206" t="s">
        <v>179</v>
      </c>
      <c r="B22" s="187">
        <v>1948</v>
      </c>
      <c r="C22" s="203">
        <v>2011</v>
      </c>
      <c r="D22" s="188">
        <v>-0.13100000000000001</v>
      </c>
      <c r="E22" s="188">
        <v>0.35699999999999998</v>
      </c>
      <c r="F22" s="189">
        <f t="shared" si="0"/>
        <v>0.48799999999999999</v>
      </c>
      <c r="G22" s="190">
        <v>311</v>
      </c>
      <c r="H22" s="191">
        <v>392</v>
      </c>
      <c r="I22" s="201">
        <f t="shared" si="1"/>
        <v>81</v>
      </c>
      <c r="J22" s="189">
        <f t="shared" si="2"/>
        <v>0.33393907398460576</v>
      </c>
      <c r="K22" s="192">
        <v>0</v>
      </c>
      <c r="L22" s="193">
        <v>200</v>
      </c>
      <c r="M22" s="189">
        <f t="shared" si="22"/>
        <v>-2.1743542329774743E-2</v>
      </c>
      <c r="N22" s="209">
        <v>-0.5</v>
      </c>
      <c r="O22" s="191">
        <v>0</v>
      </c>
      <c r="P22" s="205">
        <f t="shared" si="3"/>
        <v>-0.51180897776939815</v>
      </c>
      <c r="Q22" s="195">
        <f t="shared" si="4"/>
        <v>0.25140842321866436</v>
      </c>
      <c r="R22" s="167">
        <f t="shared" si="5"/>
        <v>63.654478556108891</v>
      </c>
      <c r="S22" s="205">
        <f t="shared" si="6"/>
        <v>0.93021116590905817</v>
      </c>
      <c r="T22" s="195">
        <f t="shared" si="7"/>
        <v>0.47260591298320948</v>
      </c>
      <c r="U22" s="167">
        <f t="shared" si="8"/>
        <v>119.65980522185859</v>
      </c>
      <c r="V22" s="207">
        <f t="shared" si="9"/>
        <v>1.7486418780378752</v>
      </c>
      <c r="W22" s="195">
        <f t="shared" si="10"/>
        <v>-0.17966263948065531</v>
      </c>
      <c r="X22" s="195">
        <f t="shared" si="11"/>
        <v>-9.5939849482669939E-2</v>
      </c>
      <c r="Y22" s="195">
        <f t="shared" si="12"/>
        <v>0.58393984948266997</v>
      </c>
      <c r="Z22" s="196">
        <f t="shared" si="13"/>
        <v>-0.33451603584268835</v>
      </c>
      <c r="AA22" s="196">
        <f t="shared" si="14"/>
        <v>-0.65386323412916258</v>
      </c>
      <c r="AB22" s="196">
        <f t="shared" si="15"/>
        <v>0</v>
      </c>
      <c r="AC22" s="196">
        <f t="shared" si="16"/>
        <v>-0.92612286795870113</v>
      </c>
      <c r="AD22" s="196">
        <f t="shared" si="17"/>
        <v>0.20463647083446426</v>
      </c>
      <c r="AE22" s="196">
        <f t="shared" si="18"/>
        <v>0.20967741935483872</v>
      </c>
      <c r="AF22" s="196">
        <f t="shared" si="19"/>
        <v>0</v>
      </c>
      <c r="AG22" s="197">
        <f t="shared" si="20"/>
        <v>1.2355745737430415</v>
      </c>
    </row>
    <row r="23" spans="1:33" x14ac:dyDescent="0.2">
      <c r="A23" s="198" t="s">
        <v>180</v>
      </c>
      <c r="B23" s="187">
        <v>1948</v>
      </c>
      <c r="C23" s="203">
        <v>2011</v>
      </c>
      <c r="D23" s="188">
        <f xml:space="preserve"> (-0.016) - 0.5 * ((-0.016) - (-0.157))</f>
        <v>-8.6500000000000007E-2</v>
      </c>
      <c r="E23" s="188">
        <v>0.35699999999999998</v>
      </c>
      <c r="F23" s="189">
        <f t="shared" si="0"/>
        <v>0.44350000000000001</v>
      </c>
      <c r="G23" s="190">
        <v>311</v>
      </c>
      <c r="H23" s="191">
        <v>392</v>
      </c>
      <c r="I23" s="201">
        <f t="shared" si="1"/>
        <v>81</v>
      </c>
      <c r="J23" s="189">
        <f t="shared" si="2"/>
        <v>0.33393907398460576</v>
      </c>
      <c r="K23" s="192">
        <v>0</v>
      </c>
      <c r="L23" s="193">
        <v>0</v>
      </c>
      <c r="M23" s="189">
        <f t="shared" si="22"/>
        <v>-1.9760780785358808E-2</v>
      </c>
      <c r="N23" s="209">
        <v>-0.5</v>
      </c>
      <c r="O23" s="191">
        <v>0</v>
      </c>
      <c r="P23" s="205">
        <f t="shared" si="3"/>
        <v>0.39565339233657004</v>
      </c>
      <c r="Q23" s="195">
        <f t="shared" si="4"/>
        <v>0.27717753216696234</v>
      </c>
      <c r="R23" s="167">
        <f t="shared" si="5"/>
        <v>77.220633857574441</v>
      </c>
      <c r="S23" s="205">
        <f t="shared" si="6"/>
        <v>1.0255568690177608</v>
      </c>
      <c r="T23" s="195">
        <f t="shared" si="7"/>
        <v>0.10618104519031511</v>
      </c>
      <c r="U23" s="167">
        <f t="shared" si="8"/>
        <v>29.581645918965997</v>
      </c>
      <c r="V23" s="195">
        <f t="shared" si="9"/>
        <v>0.39286986720416595</v>
      </c>
      <c r="W23" s="195">
        <f t="shared" si="10"/>
        <v>0.58484157368798839</v>
      </c>
      <c r="X23" s="195">
        <f t="shared" si="11"/>
        <v>0.31230540034938581</v>
      </c>
      <c r="Y23" s="195">
        <f t="shared" si="12"/>
        <v>0.13119459965061422</v>
      </c>
      <c r="Z23" s="196">
        <f t="shared" si="13"/>
        <v>-0.30401201208244316</v>
      </c>
      <c r="AA23" s="196">
        <f t="shared" si="14"/>
        <v>-0.59423841052517135</v>
      </c>
      <c r="AB23" s="196">
        <f t="shared" si="15"/>
        <v>0</v>
      </c>
      <c r="AC23" s="196">
        <f t="shared" si="16"/>
        <v>0</v>
      </c>
      <c r="AD23" s="196">
        <f t="shared" si="17"/>
        <v>0.18597597298173135</v>
      </c>
      <c r="AE23" s="196">
        <f t="shared" si="18"/>
        <v>0.20967741935483872</v>
      </c>
      <c r="AF23" s="196">
        <f t="shared" si="19"/>
        <v>0</v>
      </c>
      <c r="AG23" s="197">
        <f t="shared" si="20"/>
        <v>1.2355745737430415</v>
      </c>
    </row>
    <row r="24" spans="1:33" x14ac:dyDescent="0.2">
      <c r="A24" s="198" t="s">
        <v>260</v>
      </c>
      <c r="B24" s="187">
        <v>1948</v>
      </c>
      <c r="C24" s="203">
        <v>2011</v>
      </c>
      <c r="D24" s="188">
        <v>-0.13100000000000001</v>
      </c>
      <c r="E24" s="188">
        <v>0.35699999999999998</v>
      </c>
      <c r="F24" s="189">
        <f t="shared" si="0"/>
        <v>0.48799999999999999</v>
      </c>
      <c r="G24" s="190">
        <v>311</v>
      </c>
      <c r="H24" s="191">
        <v>392</v>
      </c>
      <c r="I24" s="201">
        <f t="shared" si="1"/>
        <v>81</v>
      </c>
      <c r="J24" s="189">
        <f t="shared" si="2"/>
        <v>0.33393907398460576</v>
      </c>
      <c r="K24" s="192">
        <v>-50</v>
      </c>
      <c r="L24" s="193">
        <v>200</v>
      </c>
      <c r="M24" s="189">
        <f t="shared" si="22"/>
        <v>-2.1743542329774743E-2</v>
      </c>
      <c r="N24" s="209">
        <v>-0.5</v>
      </c>
      <c r="O24" s="191">
        <v>0</v>
      </c>
      <c r="P24" s="205">
        <f t="shared" si="3"/>
        <v>-7.694465137285092E-2</v>
      </c>
      <c r="Q24" s="195">
        <f t="shared" si="4"/>
        <v>6.3465457063025574E-2</v>
      </c>
      <c r="R24" s="167">
        <f t="shared" si="5"/>
        <v>16.068914970912935</v>
      </c>
      <c r="S24" s="205">
        <f t="shared" si="6"/>
        <v>0.23482219113319464</v>
      </c>
      <c r="T24" s="195">
        <f t="shared" si="7"/>
        <v>0.28466294682757071</v>
      </c>
      <c r="U24" s="167">
        <f t="shared" si="8"/>
        <v>72.074241636662649</v>
      </c>
      <c r="V24" s="195">
        <f t="shared" si="9"/>
        <v>1.0532529032620117</v>
      </c>
      <c r="W24" s="195">
        <f t="shared" si="10"/>
        <v>0.25520168691589196</v>
      </c>
      <c r="X24" s="195">
        <f t="shared" si="11"/>
        <v>0.13627770081308632</v>
      </c>
      <c r="Y24" s="195">
        <f t="shared" si="12"/>
        <v>0.35172229918691372</v>
      </c>
      <c r="Z24" s="196">
        <f t="shared" si="13"/>
        <v>-0.33451603584268835</v>
      </c>
      <c r="AA24" s="196">
        <f t="shared" si="14"/>
        <v>-0.65386323412916258</v>
      </c>
      <c r="AB24" s="196">
        <f t="shared" si="15"/>
        <v>0.43486432639654726</v>
      </c>
      <c r="AC24" s="196">
        <f t="shared" si="16"/>
        <v>-0.92612286795870113</v>
      </c>
      <c r="AD24" s="196">
        <f t="shared" si="17"/>
        <v>0.20463647083446426</v>
      </c>
      <c r="AE24" s="196">
        <f t="shared" si="18"/>
        <v>0.20967741935483872</v>
      </c>
      <c r="AF24" s="196">
        <f t="shared" si="19"/>
        <v>0</v>
      </c>
      <c r="AG24" s="197">
        <f t="shared" si="20"/>
        <v>1.2355745737430415</v>
      </c>
    </row>
    <row r="25" spans="1:33" x14ac:dyDescent="0.2">
      <c r="A25" s="198" t="s">
        <v>261</v>
      </c>
      <c r="B25" s="187">
        <v>1948</v>
      </c>
      <c r="C25" s="203">
        <v>2011</v>
      </c>
      <c r="D25" s="188">
        <v>-0.13100000000000001</v>
      </c>
      <c r="E25" s="188">
        <v>0.35699999999999998</v>
      </c>
      <c r="F25" s="189">
        <f t="shared" si="0"/>
        <v>0.48799999999999999</v>
      </c>
      <c r="G25" s="190">
        <v>311</v>
      </c>
      <c r="H25" s="191">
        <v>392</v>
      </c>
      <c r="I25" s="201">
        <f t="shared" si="1"/>
        <v>81</v>
      </c>
      <c r="J25" s="189">
        <f t="shared" si="2"/>
        <v>0.33393907398460576</v>
      </c>
      <c r="K25" s="192">
        <v>-25</v>
      </c>
      <c r="L25" s="193">
        <v>100</v>
      </c>
      <c r="M25" s="189">
        <f t="shared" si="22"/>
        <v>-2.1743542329774743E-2</v>
      </c>
      <c r="N25" s="209">
        <v>-1</v>
      </c>
      <c r="O25" s="191">
        <v>0</v>
      </c>
      <c r="P25" s="205">
        <f t="shared" si="3"/>
        <v>0.37836203876306473</v>
      </c>
      <c r="Q25" s="195">
        <f t="shared" si="4"/>
        <v>0.15743694014084492</v>
      </c>
      <c r="R25" s="167">
        <f t="shared" si="5"/>
        <v>39.861696763510899</v>
      </c>
      <c r="S25" s="205">
        <f t="shared" si="6"/>
        <v>0.58251667852112621</v>
      </c>
      <c r="T25" s="195">
        <f t="shared" si="7"/>
        <v>8.788504470869557E-2</v>
      </c>
      <c r="U25" s="167">
        <f t="shared" si="8"/>
        <v>22.251747265232517</v>
      </c>
      <c r="V25" s="195">
        <f t="shared" si="9"/>
        <v>0.3251746654221736</v>
      </c>
      <c r="W25" s="195">
        <f t="shared" si="10"/>
        <v>0.71050837705180769</v>
      </c>
      <c r="X25" s="195">
        <f t="shared" si="11"/>
        <v>0.37941147334566533</v>
      </c>
      <c r="Y25" s="195">
        <f t="shared" si="12"/>
        <v>0.10858852665433466</v>
      </c>
      <c r="Z25" s="196">
        <f t="shared" si="13"/>
        <v>-0.33451603584268835</v>
      </c>
      <c r="AA25" s="196">
        <f t="shared" si="14"/>
        <v>-0.65386323412916258</v>
      </c>
      <c r="AB25" s="196">
        <f t="shared" si="15"/>
        <v>0.21743216319827363</v>
      </c>
      <c r="AC25" s="196">
        <f t="shared" si="16"/>
        <v>-0.46306143397935057</v>
      </c>
      <c r="AD25" s="196">
        <f t="shared" si="17"/>
        <v>0.20463647083446426</v>
      </c>
      <c r="AE25" s="196">
        <f t="shared" si="18"/>
        <v>0.41935483870967744</v>
      </c>
      <c r="AF25" s="196">
        <f t="shared" si="19"/>
        <v>0</v>
      </c>
      <c r="AG25" s="197">
        <f t="shared" si="20"/>
        <v>1.2355745737430415</v>
      </c>
    </row>
    <row r="26" spans="1:33" x14ac:dyDescent="0.2">
      <c r="A26" s="206" t="s">
        <v>181</v>
      </c>
      <c r="B26" s="187" t="s">
        <v>185</v>
      </c>
      <c r="C26" s="203" t="s">
        <v>186</v>
      </c>
      <c r="D26" s="188">
        <v>0.27100000000000002</v>
      </c>
      <c r="E26" s="188">
        <v>0.316</v>
      </c>
      <c r="F26" s="189">
        <f t="shared" si="0"/>
        <v>4.4999999999999984E-2</v>
      </c>
      <c r="G26" s="190">
        <v>369</v>
      </c>
      <c r="H26" s="191">
        <v>390</v>
      </c>
      <c r="I26" s="201">
        <f t="shared" si="1"/>
        <v>21</v>
      </c>
      <c r="J26" s="189">
        <f t="shared" si="2"/>
        <v>7.98533076892146E-2</v>
      </c>
      <c r="K26" s="192">
        <v>0</v>
      </c>
      <c r="L26" s="193">
        <v>-42</v>
      </c>
      <c r="M26" s="189">
        <f t="shared" si="22"/>
        <v>-2.0050397640161127E-3</v>
      </c>
      <c r="N26" s="209">
        <v>0.2</v>
      </c>
      <c r="O26" s="191">
        <v>0</v>
      </c>
      <c r="P26" s="205">
        <f t="shared" si="3"/>
        <v>0.12948500089732387</v>
      </c>
      <c r="Q26" s="195">
        <f t="shared" si="4"/>
        <v>0.42502516183033451</v>
      </c>
      <c r="R26" s="167">
        <f t="shared" si="5"/>
        <v>279.05946796932221</v>
      </c>
      <c r="S26" s="205">
        <f t="shared" si="6"/>
        <v>1.5725930987722379</v>
      </c>
      <c r="T26" s="195">
        <f t="shared" si="7"/>
        <v>0.19099809638461759</v>
      </c>
      <c r="U26" s="167">
        <f t="shared" si="8"/>
        <v>125.4039335711645</v>
      </c>
      <c r="V26" s="207">
        <f t="shared" si="9"/>
        <v>0.70669295662308518</v>
      </c>
      <c r="W26" s="195">
        <f t="shared" si="10"/>
        <v>-2.1407809189183558E-2</v>
      </c>
      <c r="X26" s="195">
        <f t="shared" si="11"/>
        <v>-1.1431770107024021E-2</v>
      </c>
      <c r="Y26" s="195">
        <f t="shared" si="12"/>
        <v>5.6431770107024007E-2</v>
      </c>
      <c r="Z26" s="196">
        <f t="shared" si="13"/>
        <v>-3.0846765600247888E-2</v>
      </c>
      <c r="AA26" s="196">
        <f t="shared" si="14"/>
        <v>-6.0294765442238336E-2</v>
      </c>
      <c r="AB26" s="196">
        <f t="shared" si="15"/>
        <v>0</v>
      </c>
      <c r="AC26" s="196">
        <f t="shared" si="16"/>
        <v>0.19448580227132722</v>
      </c>
      <c r="AD26" s="196">
        <f t="shared" si="17"/>
        <v>1.8870166367932147E-2</v>
      </c>
      <c r="AE26" s="196">
        <f t="shared" si="18"/>
        <v>-8.3870967741935504E-2</v>
      </c>
      <c r="AF26" s="196">
        <f t="shared" si="19"/>
        <v>0</v>
      </c>
      <c r="AG26" s="197">
        <f t="shared" si="20"/>
        <v>0.29545723845009403</v>
      </c>
    </row>
    <row r="27" spans="1:33" x14ac:dyDescent="0.2">
      <c r="A27" s="206" t="s">
        <v>182</v>
      </c>
      <c r="B27" s="187" t="s">
        <v>185</v>
      </c>
      <c r="C27" s="203" t="s">
        <v>186</v>
      </c>
      <c r="D27" s="188">
        <v>0.27100000000000002</v>
      </c>
      <c r="E27" s="188">
        <v>0.316</v>
      </c>
      <c r="F27" s="189">
        <f t="shared" si="0"/>
        <v>4.4999999999999984E-2</v>
      </c>
      <c r="G27" s="190">
        <v>369</v>
      </c>
      <c r="H27" s="191">
        <v>390</v>
      </c>
      <c r="I27" s="201">
        <f t="shared" si="1"/>
        <v>21</v>
      </c>
      <c r="J27" s="189">
        <f t="shared" si="2"/>
        <v>7.98533076892146E-2</v>
      </c>
      <c r="K27" s="192">
        <v>0</v>
      </c>
      <c r="L27" s="193">
        <v>-20</v>
      </c>
      <c r="M27" s="189">
        <f t="shared" si="22"/>
        <v>-2.0050397640161127E-3</v>
      </c>
      <c r="N27" s="209">
        <v>0.2</v>
      </c>
      <c r="O27" s="191">
        <v>0</v>
      </c>
      <c r="P27" s="205">
        <f t="shared" si="3"/>
        <v>2.7611485421866769E-2</v>
      </c>
      <c r="Q27" s="195">
        <f t="shared" si="4"/>
        <v>0.42502516183033451</v>
      </c>
      <c r="R27" s="167">
        <f t="shared" si="5"/>
        <v>279.05946796932221</v>
      </c>
      <c r="S27" s="205">
        <f t="shared" si="6"/>
        <v>1.5725930987722379</v>
      </c>
      <c r="T27" s="195">
        <f t="shared" si="7"/>
        <v>0.37512104273471331</v>
      </c>
      <c r="U27" s="167">
        <f t="shared" si="8"/>
        <v>246.2938386020403</v>
      </c>
      <c r="V27" s="207">
        <f t="shared" si="9"/>
        <v>1.3879478581184392</v>
      </c>
      <c r="W27" s="195">
        <f t="shared" si="10"/>
        <v>-0.12328132466464065</v>
      </c>
      <c r="X27" s="195">
        <f t="shared" si="11"/>
        <v>-6.5832227370918109E-2</v>
      </c>
      <c r="Y27" s="195">
        <f t="shared" si="12"/>
        <v>0.11083222737091809</v>
      </c>
      <c r="Z27" s="196">
        <f t="shared" si="13"/>
        <v>-3.0846765600247888E-2</v>
      </c>
      <c r="AA27" s="196">
        <f t="shared" si="14"/>
        <v>-6.0294765442238336E-2</v>
      </c>
      <c r="AB27" s="196">
        <f t="shared" si="15"/>
        <v>0</v>
      </c>
      <c r="AC27" s="196">
        <f t="shared" si="16"/>
        <v>9.2612286795870122E-2</v>
      </c>
      <c r="AD27" s="196">
        <f t="shared" si="17"/>
        <v>1.8870166367932147E-2</v>
      </c>
      <c r="AE27" s="196">
        <f t="shared" si="18"/>
        <v>-8.3870967741935504E-2</v>
      </c>
      <c r="AF27" s="196">
        <f t="shared" si="19"/>
        <v>0</v>
      </c>
      <c r="AG27" s="197">
        <f t="shared" si="20"/>
        <v>0.29545723845009403</v>
      </c>
    </row>
    <row r="28" spans="1:33" x14ac:dyDescent="0.2">
      <c r="A28" s="206" t="s">
        <v>183</v>
      </c>
      <c r="B28" s="187" t="s">
        <v>185</v>
      </c>
      <c r="C28" s="203" t="s">
        <v>186</v>
      </c>
      <c r="D28" s="188">
        <v>0.27100000000000002</v>
      </c>
      <c r="E28" s="188">
        <v>0.316</v>
      </c>
      <c r="F28" s="189">
        <f t="shared" si="0"/>
        <v>4.4999999999999984E-2</v>
      </c>
      <c r="G28" s="190">
        <v>369</v>
      </c>
      <c r="H28" s="191">
        <v>390</v>
      </c>
      <c r="I28" s="201">
        <f t="shared" si="1"/>
        <v>21</v>
      </c>
      <c r="J28" s="189">
        <f t="shared" si="2"/>
        <v>7.98533076892146E-2</v>
      </c>
      <c r="K28" s="192">
        <v>0</v>
      </c>
      <c r="L28" s="193">
        <v>54</v>
      </c>
      <c r="M28" s="189">
        <f t="shared" si="22"/>
        <v>-2.0050397640161127E-3</v>
      </c>
      <c r="N28" s="209">
        <v>0.2</v>
      </c>
      <c r="O28" s="191">
        <v>0</v>
      </c>
      <c r="P28" s="205">
        <f t="shared" si="3"/>
        <v>-0.31505397572285265</v>
      </c>
      <c r="Q28" s="195">
        <f t="shared" si="4"/>
        <v>0.42502516183033451</v>
      </c>
      <c r="R28" s="167">
        <f t="shared" si="5"/>
        <v>279.05946796932221</v>
      </c>
      <c r="S28" s="205">
        <f t="shared" si="6"/>
        <v>1.5725930987722379</v>
      </c>
      <c r="T28" s="195">
        <f t="shared" si="7"/>
        <v>0.99444368045776255</v>
      </c>
      <c r="U28" s="167">
        <f t="shared" si="8"/>
        <v>652.92351916044083</v>
      </c>
      <c r="V28" s="207">
        <f t="shared" si="9"/>
        <v>3.6794416176937217</v>
      </c>
      <c r="W28" s="195">
        <f t="shared" si="10"/>
        <v>-0.46594678580936005</v>
      </c>
      <c r="X28" s="195">
        <f t="shared" si="11"/>
        <v>-0.24881558362219827</v>
      </c>
      <c r="Y28" s="195">
        <f t="shared" si="12"/>
        <v>0.29381558362219828</v>
      </c>
      <c r="Z28" s="196">
        <f t="shared" si="13"/>
        <v>-3.0846765600247888E-2</v>
      </c>
      <c r="AA28" s="196">
        <f t="shared" si="14"/>
        <v>-6.0294765442238336E-2</v>
      </c>
      <c r="AB28" s="196">
        <f t="shared" si="15"/>
        <v>0</v>
      </c>
      <c r="AC28" s="196">
        <f t="shared" si="16"/>
        <v>-0.25005317434884933</v>
      </c>
      <c r="AD28" s="196">
        <f t="shared" si="17"/>
        <v>1.8870166367932147E-2</v>
      </c>
      <c r="AE28" s="196">
        <f t="shared" si="18"/>
        <v>-8.3870967741935504E-2</v>
      </c>
      <c r="AF28" s="196">
        <f t="shared" si="19"/>
        <v>0</v>
      </c>
      <c r="AG28" s="197">
        <f t="shared" si="20"/>
        <v>0.29545723845009403</v>
      </c>
    </row>
    <row r="29" spans="1:33" x14ac:dyDescent="0.2">
      <c r="A29" s="206" t="s">
        <v>242</v>
      </c>
      <c r="B29" s="187" t="s">
        <v>185</v>
      </c>
      <c r="C29" s="203" t="s">
        <v>186</v>
      </c>
      <c r="D29" s="188">
        <v>0.27100000000000002</v>
      </c>
      <c r="E29" s="188">
        <v>0.316</v>
      </c>
      <c r="F29" s="189">
        <f t="shared" si="0"/>
        <v>4.4999999999999984E-2</v>
      </c>
      <c r="G29" s="190">
        <v>369</v>
      </c>
      <c r="H29" s="191">
        <v>390</v>
      </c>
      <c r="I29" s="201">
        <f t="shared" si="1"/>
        <v>21</v>
      </c>
      <c r="J29" s="189">
        <f t="shared" si="2"/>
        <v>7.98533076892146E-2</v>
      </c>
      <c r="K29" s="192">
        <v>0</v>
      </c>
      <c r="L29" s="193">
        <v>61</v>
      </c>
      <c r="M29" s="189">
        <f t="shared" si="22"/>
        <v>-2.0050397640161127E-3</v>
      </c>
      <c r="N29" s="209">
        <v>0.2</v>
      </c>
      <c r="O29" s="191">
        <v>0</v>
      </c>
      <c r="P29" s="205">
        <f t="shared" si="3"/>
        <v>-0.34746827610140718</v>
      </c>
      <c r="Q29" s="195">
        <f t="shared" si="4"/>
        <v>0.42502516183033451</v>
      </c>
      <c r="R29" s="167">
        <f t="shared" si="5"/>
        <v>279.05946796932221</v>
      </c>
      <c r="S29" s="205">
        <f t="shared" si="6"/>
        <v>1.5725930987722379</v>
      </c>
      <c r="T29" s="195">
        <f t="shared" si="7"/>
        <v>1.0530282542964295</v>
      </c>
      <c r="U29" s="167">
        <f t="shared" si="8"/>
        <v>691.38848894299235</v>
      </c>
      <c r="V29" s="207">
        <f t="shared" si="9"/>
        <v>3.8962045408967896</v>
      </c>
      <c r="W29" s="195">
        <f t="shared" si="10"/>
        <v>-0.49836108618791458</v>
      </c>
      <c r="X29" s="195">
        <f t="shared" si="11"/>
        <v>-0.2661248200243464</v>
      </c>
      <c r="Y29" s="195">
        <f t="shared" si="12"/>
        <v>0.31112482002434644</v>
      </c>
      <c r="Z29" s="196">
        <f t="shared" si="13"/>
        <v>-3.0846765600247888E-2</v>
      </c>
      <c r="AA29" s="196">
        <f t="shared" si="14"/>
        <v>-6.0294765442238336E-2</v>
      </c>
      <c r="AB29" s="196">
        <f t="shared" si="15"/>
        <v>0</v>
      </c>
      <c r="AC29" s="196">
        <f t="shared" si="16"/>
        <v>-0.28246747472740386</v>
      </c>
      <c r="AD29" s="196">
        <f t="shared" si="17"/>
        <v>1.8870166367932147E-2</v>
      </c>
      <c r="AE29" s="196">
        <f t="shared" si="18"/>
        <v>-8.3870967741935504E-2</v>
      </c>
      <c r="AF29" s="196">
        <f t="shared" si="19"/>
        <v>0</v>
      </c>
      <c r="AG29" s="197">
        <f t="shared" si="20"/>
        <v>0.29545723845009403</v>
      </c>
    </row>
    <row r="30" spans="1:33" x14ac:dyDescent="0.2">
      <c r="A30" s="206" t="s">
        <v>243</v>
      </c>
      <c r="B30" s="187" t="s">
        <v>185</v>
      </c>
      <c r="C30" s="203" t="s">
        <v>186</v>
      </c>
      <c r="D30" s="188">
        <v>0.27100000000000002</v>
      </c>
      <c r="E30" s="188">
        <v>0.316</v>
      </c>
      <c r="F30" s="189">
        <f t="shared" si="0"/>
        <v>4.4999999999999984E-2</v>
      </c>
      <c r="G30" s="190">
        <v>369</v>
      </c>
      <c r="H30" s="191">
        <v>390</v>
      </c>
      <c r="I30" s="201">
        <f t="shared" si="1"/>
        <v>21</v>
      </c>
      <c r="J30" s="189">
        <f t="shared" si="2"/>
        <v>7.98533076892146E-2</v>
      </c>
      <c r="K30" s="192">
        <v>-18</v>
      </c>
      <c r="L30" s="193">
        <v>-31</v>
      </c>
      <c r="M30" s="189">
        <f t="shared" si="22"/>
        <v>-2.0050397640161127E-3</v>
      </c>
      <c r="N30" s="209">
        <v>0.2</v>
      </c>
      <c r="O30" s="191">
        <v>0</v>
      </c>
      <c r="P30" s="205">
        <f t="shared" si="3"/>
        <v>0.23509940066235233</v>
      </c>
      <c r="Q30" s="195">
        <f t="shared" si="4"/>
        <v>0.14207958721855221</v>
      </c>
      <c r="R30" s="167">
        <f t="shared" si="5"/>
        <v>93.285427732717167</v>
      </c>
      <c r="S30" s="205">
        <f t="shared" si="6"/>
        <v>0.52569447270864322</v>
      </c>
      <c r="T30" s="195">
        <f t="shared" si="7"/>
        <v>1.1399494788303067E-4</v>
      </c>
      <c r="U30" s="167">
        <f t="shared" si="8"/>
        <v>7.4845849997294767E-2</v>
      </c>
      <c r="V30" s="207">
        <f t="shared" si="9"/>
        <v>4.2178130716721352E-4</v>
      </c>
      <c r="W30" s="195">
        <f t="shared" si="10"/>
        <v>8.4206590575844953E-2</v>
      </c>
      <c r="X30" s="195">
        <f t="shared" si="11"/>
        <v>4.4966319367501208E-2</v>
      </c>
      <c r="Y30" s="195">
        <f t="shared" si="12"/>
        <v>3.3680632498782634E-5</v>
      </c>
      <c r="Z30" s="196">
        <f t="shared" si="13"/>
        <v>-3.0846765600247888E-2</v>
      </c>
      <c r="AA30" s="196">
        <f t="shared" si="14"/>
        <v>-6.0294765442238336E-2</v>
      </c>
      <c r="AB30" s="196">
        <f t="shared" si="15"/>
        <v>0.156551157502757</v>
      </c>
      <c r="AC30" s="196">
        <f t="shared" si="16"/>
        <v>0.14354904453359868</v>
      </c>
      <c r="AD30" s="196">
        <f t="shared" si="17"/>
        <v>1.8870166367932147E-2</v>
      </c>
      <c r="AE30" s="196">
        <f t="shared" si="18"/>
        <v>-8.3870967741935504E-2</v>
      </c>
      <c r="AF30" s="196">
        <f t="shared" si="19"/>
        <v>0</v>
      </c>
      <c r="AG30" s="197">
        <f t="shared" si="20"/>
        <v>0.29545723845009403</v>
      </c>
    </row>
    <row r="31" spans="1:33" x14ac:dyDescent="0.2">
      <c r="A31" s="206" t="s">
        <v>254</v>
      </c>
      <c r="B31" s="187" t="s">
        <v>185</v>
      </c>
      <c r="C31" s="203" t="s">
        <v>186</v>
      </c>
      <c r="D31" s="188">
        <v>0.27100000000000002</v>
      </c>
      <c r="E31" s="188">
        <v>0.316</v>
      </c>
      <c r="F31" s="189">
        <f t="shared" si="0"/>
        <v>4.4999999999999984E-2</v>
      </c>
      <c r="G31" s="190">
        <v>369</v>
      </c>
      <c r="H31" s="191">
        <v>390</v>
      </c>
      <c r="I31" s="201">
        <f t="shared" si="1"/>
        <v>21</v>
      </c>
      <c r="J31" s="189">
        <f t="shared" si="2"/>
        <v>7.98533076892146E-2</v>
      </c>
      <c r="K31" s="192">
        <v>-50</v>
      </c>
      <c r="L31" s="193">
        <v>50</v>
      </c>
      <c r="M31" s="189">
        <f t="shared" si="22"/>
        <v>-2.0050397640161127E-3</v>
      </c>
      <c r="N31" s="209">
        <v>0.2</v>
      </c>
      <c r="O31" s="191">
        <v>0</v>
      </c>
      <c r="P31" s="205">
        <f t="shared" si="3"/>
        <v>0.13833280803286863</v>
      </c>
      <c r="Q31" s="195">
        <f t="shared" si="4"/>
        <v>-0.36093476764683874</v>
      </c>
      <c r="R31" s="167">
        <f t="shared" si="5"/>
        <v>-236.97953268791409</v>
      </c>
      <c r="S31" s="205">
        <f t="shared" si="6"/>
        <v>-1.3354586402933033</v>
      </c>
      <c r="T31" s="195">
        <f t="shared" si="7"/>
        <v>0.17500685164420834</v>
      </c>
      <c r="U31" s="167">
        <f t="shared" si="8"/>
        <v>114.90453577031801</v>
      </c>
      <c r="V31" s="207">
        <f t="shared" si="9"/>
        <v>0.6475253510835709</v>
      </c>
      <c r="W31" s="195">
        <f t="shared" si="10"/>
        <v>-1.2560002053638775E-2</v>
      </c>
      <c r="X31" s="195">
        <f t="shared" si="11"/>
        <v>-6.7070410966431062E-3</v>
      </c>
      <c r="Y31" s="195">
        <f t="shared" si="12"/>
        <v>5.1707041096643098E-2</v>
      </c>
      <c r="Z31" s="196">
        <f t="shared" si="13"/>
        <v>-3.0846765600247888E-2</v>
      </c>
      <c r="AA31" s="196">
        <f t="shared" si="14"/>
        <v>-6.0294765442238336E-2</v>
      </c>
      <c r="AB31" s="196">
        <f t="shared" si="15"/>
        <v>0.43486432639654726</v>
      </c>
      <c r="AC31" s="196">
        <f t="shared" si="16"/>
        <v>-0.23153071698967528</v>
      </c>
      <c r="AD31" s="196">
        <f t="shared" si="17"/>
        <v>1.8870166367932147E-2</v>
      </c>
      <c r="AE31" s="196">
        <f t="shared" si="18"/>
        <v>-8.3870967741935504E-2</v>
      </c>
      <c r="AF31" s="196">
        <f t="shared" si="19"/>
        <v>0</v>
      </c>
      <c r="AG31" s="197">
        <f t="shared" si="20"/>
        <v>0.29545723845009403</v>
      </c>
    </row>
    <row r="32" spans="1:33" x14ac:dyDescent="0.2">
      <c r="A32" s="186" t="s">
        <v>184</v>
      </c>
      <c r="B32" s="187">
        <v>1973</v>
      </c>
      <c r="C32" s="203">
        <v>2001</v>
      </c>
      <c r="D32" s="188">
        <v>-0.157</v>
      </c>
      <c r="E32" s="188">
        <v>0.24299999999999999</v>
      </c>
      <c r="F32" s="189">
        <f t="shared" si="0"/>
        <v>0.4</v>
      </c>
      <c r="G32" s="190">
        <v>330</v>
      </c>
      <c r="H32" s="191">
        <v>371</v>
      </c>
      <c r="I32" s="201">
        <f t="shared" si="1"/>
        <v>41</v>
      </c>
      <c r="J32" s="189">
        <f t="shared" si="2"/>
        <v>0.16895316237498756</v>
      </c>
      <c r="K32" s="192">
        <v>0</v>
      </c>
      <c r="L32" s="193">
        <v>0</v>
      </c>
      <c r="M32" s="189">
        <v>0</v>
      </c>
      <c r="N32" s="209">
        <v>0</v>
      </c>
      <c r="O32" s="191">
        <v>0</v>
      </c>
      <c r="P32" s="205">
        <f t="shared" si="3"/>
        <v>0</v>
      </c>
      <c r="Q32" s="195">
        <f t="shared" si="4"/>
        <v>7.6174165751292891E-2</v>
      </c>
      <c r="R32" s="167">
        <f t="shared" si="5"/>
        <v>11.9046262303356</v>
      </c>
      <c r="S32" s="205">
        <f t="shared" si="6"/>
        <v>0.28184441327978371</v>
      </c>
      <c r="T32" s="195">
        <f t="shared" si="7"/>
        <v>7.6174165751292891E-2</v>
      </c>
      <c r="U32" s="167">
        <f t="shared" si="8"/>
        <v>11.9046262303356</v>
      </c>
      <c r="V32" s="211">
        <f t="shared" si="9"/>
        <v>0.28184441327978371</v>
      </c>
      <c r="W32" s="195">
        <f t="shared" si="10"/>
        <v>0.65989044022220533</v>
      </c>
      <c r="X32" s="195">
        <f t="shared" si="11"/>
        <v>0.35238149507865768</v>
      </c>
      <c r="Y32" s="195">
        <f t="shared" si="12"/>
        <v>4.7618504921342397E-2</v>
      </c>
      <c r="Z32" s="196">
        <f t="shared" si="13"/>
        <v>0</v>
      </c>
      <c r="AA32" s="196">
        <f t="shared" si="14"/>
        <v>-0.53595347059767429</v>
      </c>
      <c r="AB32" s="196">
        <f t="shared" si="15"/>
        <v>0</v>
      </c>
      <c r="AC32" s="196">
        <f t="shared" si="16"/>
        <v>0</v>
      </c>
      <c r="AD32" s="196">
        <f t="shared" si="17"/>
        <v>0</v>
      </c>
      <c r="AE32" s="196">
        <f t="shared" si="18"/>
        <v>0</v>
      </c>
      <c r="AF32" s="196">
        <f t="shared" si="19"/>
        <v>0</v>
      </c>
      <c r="AG32" s="197">
        <f t="shared" si="20"/>
        <v>0.62512670078745403</v>
      </c>
    </row>
    <row r="33" spans="1:33" x14ac:dyDescent="0.2">
      <c r="A33" s="186" t="s">
        <v>187</v>
      </c>
      <c r="B33" s="187">
        <v>1973</v>
      </c>
      <c r="C33" s="203">
        <v>2006</v>
      </c>
      <c r="D33" s="188">
        <v>-0.157</v>
      </c>
      <c r="E33" s="188">
        <v>0.318</v>
      </c>
      <c r="F33" s="189">
        <f t="shared" si="0"/>
        <v>0.47499999999999998</v>
      </c>
      <c r="G33" s="190">
        <v>330</v>
      </c>
      <c r="H33" s="191">
        <v>382</v>
      </c>
      <c r="I33" s="201">
        <f t="shared" si="1"/>
        <v>52</v>
      </c>
      <c r="J33" s="189">
        <f t="shared" si="2"/>
        <v>0.21110661378993278</v>
      </c>
      <c r="K33" s="192">
        <v>0</v>
      </c>
      <c r="L33" s="193">
        <v>0</v>
      </c>
      <c r="M33" s="189">
        <v>0</v>
      </c>
      <c r="N33" s="209">
        <v>0</v>
      </c>
      <c r="O33" s="191">
        <v>0</v>
      </c>
      <c r="P33" s="205">
        <f t="shared" si="3"/>
        <v>0</v>
      </c>
      <c r="Q33" s="195">
        <f t="shared" si="4"/>
        <v>9.8890666684989428E-2</v>
      </c>
      <c r="R33" s="167">
        <f t="shared" si="5"/>
        <v>16.261674312294538</v>
      </c>
      <c r="S33" s="205">
        <f t="shared" si="6"/>
        <v>0.36589546673446088</v>
      </c>
      <c r="T33" s="195">
        <f t="shared" si="7"/>
        <v>9.8890666684989428E-2</v>
      </c>
      <c r="U33" s="167">
        <f t="shared" si="8"/>
        <v>16.261674312294538</v>
      </c>
      <c r="V33" s="211">
        <f t="shared" si="9"/>
        <v>0.36589546673446088</v>
      </c>
      <c r="W33" s="195">
        <f t="shared" si="10"/>
        <v>0.74486338392621898</v>
      </c>
      <c r="X33" s="195">
        <f t="shared" si="11"/>
        <v>0.39775704701660097</v>
      </c>
      <c r="Y33" s="195">
        <f t="shared" si="12"/>
        <v>7.7242952983399032E-2</v>
      </c>
      <c r="Z33" s="196">
        <f t="shared" si="13"/>
        <v>0</v>
      </c>
      <c r="AA33" s="196">
        <f t="shared" si="14"/>
        <v>-0.63644474633473813</v>
      </c>
      <c r="AB33" s="196">
        <f t="shared" si="15"/>
        <v>0</v>
      </c>
      <c r="AC33" s="196">
        <f t="shared" si="16"/>
        <v>0</v>
      </c>
      <c r="AD33" s="196">
        <f t="shared" si="17"/>
        <v>0</v>
      </c>
      <c r="AE33" s="196">
        <f t="shared" si="18"/>
        <v>0</v>
      </c>
      <c r="AF33" s="196">
        <f t="shared" si="19"/>
        <v>0</v>
      </c>
      <c r="AG33" s="197">
        <f t="shared" si="20"/>
        <v>0.78109447102275131</v>
      </c>
    </row>
    <row r="34" spans="1:33" x14ac:dyDescent="0.2">
      <c r="A34" s="186" t="s">
        <v>188</v>
      </c>
      <c r="B34" s="187">
        <v>1963</v>
      </c>
      <c r="C34" s="203">
        <v>2011</v>
      </c>
      <c r="D34" s="188">
        <v>-9.9000000000000005E-2</v>
      </c>
      <c r="E34" s="188">
        <v>0.35699999999999998</v>
      </c>
      <c r="F34" s="189">
        <f t="shared" si="0"/>
        <v>0.45599999999999996</v>
      </c>
      <c r="G34" s="190">
        <v>319</v>
      </c>
      <c r="H34" s="191">
        <v>392</v>
      </c>
      <c r="I34" s="201">
        <f t="shared" si="1"/>
        <v>73</v>
      </c>
      <c r="J34" s="189">
        <f t="shared" si="2"/>
        <v>0.29729723035033884</v>
      </c>
      <c r="K34" s="192">
        <v>0</v>
      </c>
      <c r="L34" s="193">
        <v>0</v>
      </c>
      <c r="M34" s="189">
        <v>0</v>
      </c>
      <c r="N34" s="209">
        <v>0</v>
      </c>
      <c r="O34" s="191">
        <v>0</v>
      </c>
      <c r="P34" s="205">
        <f t="shared" si="3"/>
        <v>0</v>
      </c>
      <c r="Q34" s="195">
        <f t="shared" si="4"/>
        <v>0.23739353797129825</v>
      </c>
      <c r="R34" s="167">
        <f t="shared" si="5"/>
        <v>57.26597214148233</v>
      </c>
      <c r="S34" s="205">
        <f t="shared" si="6"/>
        <v>0.87835609049380359</v>
      </c>
      <c r="T34" s="195">
        <f t="shared" si="7"/>
        <v>0.23739353797129825</v>
      </c>
      <c r="U34" s="167">
        <f t="shared" si="8"/>
        <v>57.26597214148233</v>
      </c>
      <c r="V34" s="211">
        <f t="shared" si="9"/>
        <v>0.87835609049380359</v>
      </c>
      <c r="W34" s="195">
        <f t="shared" si="10"/>
        <v>0.3649197884547577</v>
      </c>
      <c r="X34" s="195">
        <f t="shared" si="11"/>
        <v>0.19486716703484061</v>
      </c>
      <c r="Y34" s="195">
        <f t="shared" si="12"/>
        <v>0.26113283296515938</v>
      </c>
      <c r="Z34" s="196">
        <f t="shared" si="13"/>
        <v>0</v>
      </c>
      <c r="AA34" s="196">
        <f t="shared" si="14"/>
        <v>-0.6109869564813486</v>
      </c>
      <c r="AB34" s="196">
        <f t="shared" si="15"/>
        <v>0</v>
      </c>
      <c r="AC34" s="196">
        <f t="shared" si="16"/>
        <v>0</v>
      </c>
      <c r="AD34" s="196">
        <f t="shared" si="17"/>
        <v>0</v>
      </c>
      <c r="AE34" s="196">
        <f t="shared" si="18"/>
        <v>0</v>
      </c>
      <c r="AF34" s="196">
        <f t="shared" si="19"/>
        <v>0</v>
      </c>
      <c r="AG34" s="197">
        <f t="shared" si="20"/>
        <v>1.0999997522962537</v>
      </c>
    </row>
    <row r="35" spans="1:33" x14ac:dyDescent="0.2">
      <c r="A35" s="186" t="s">
        <v>189</v>
      </c>
      <c r="B35" s="187">
        <v>1968</v>
      </c>
      <c r="C35" s="203">
        <v>2011</v>
      </c>
      <c r="D35" s="188">
        <v>-0.10100000000000001</v>
      </c>
      <c r="E35" s="188">
        <v>0.35699999999999998</v>
      </c>
      <c r="F35" s="189">
        <f t="shared" si="0"/>
        <v>0.45799999999999996</v>
      </c>
      <c r="G35" s="190">
        <v>323</v>
      </c>
      <c r="H35" s="191">
        <v>392</v>
      </c>
      <c r="I35" s="201">
        <f t="shared" si="1"/>
        <v>69</v>
      </c>
      <c r="J35" s="189">
        <f t="shared" si="2"/>
        <v>0.27931948942128332</v>
      </c>
      <c r="K35" s="192">
        <v>0</v>
      </c>
      <c r="L35" s="193">
        <v>0</v>
      </c>
      <c r="M35" s="189">
        <v>0</v>
      </c>
      <c r="N35" s="209">
        <v>0</v>
      </c>
      <c r="O35" s="191">
        <v>0</v>
      </c>
      <c r="P35" s="205">
        <f t="shared" si="3"/>
        <v>0</v>
      </c>
      <c r="Q35" s="195">
        <f t="shared" si="4"/>
        <v>0.21691852651881635</v>
      </c>
      <c r="R35" s="167">
        <f t="shared" si="5"/>
        <v>48.947907570095133</v>
      </c>
      <c r="S35" s="205">
        <f t="shared" si="6"/>
        <v>0.8025985481196205</v>
      </c>
      <c r="T35" s="195">
        <f t="shared" si="7"/>
        <v>0.21691852651881635</v>
      </c>
      <c r="U35" s="167">
        <f t="shared" si="8"/>
        <v>48.947907570095133</v>
      </c>
      <c r="V35" s="211">
        <f t="shared" si="9"/>
        <v>0.8025985481196205</v>
      </c>
      <c r="W35" s="195">
        <f t="shared" si="10"/>
        <v>0.43786251559731126</v>
      </c>
      <c r="X35" s="195">
        <f t="shared" si="11"/>
        <v>0.23381858332896424</v>
      </c>
      <c r="Y35" s="195">
        <f t="shared" si="12"/>
        <v>0.22418141667103569</v>
      </c>
      <c r="Z35" s="196">
        <f t="shared" si="13"/>
        <v>0</v>
      </c>
      <c r="AA35" s="196">
        <f t="shared" si="14"/>
        <v>-0.61366672383433696</v>
      </c>
      <c r="AB35" s="196">
        <f t="shared" si="15"/>
        <v>0</v>
      </c>
      <c r="AC35" s="196">
        <f t="shared" si="16"/>
        <v>0</v>
      </c>
      <c r="AD35" s="196">
        <f t="shared" si="17"/>
        <v>0</v>
      </c>
      <c r="AE35" s="196">
        <f t="shared" si="18"/>
        <v>0</v>
      </c>
      <c r="AF35" s="196">
        <f t="shared" si="19"/>
        <v>0</v>
      </c>
      <c r="AG35" s="197">
        <f t="shared" si="20"/>
        <v>1.0334821108587484</v>
      </c>
    </row>
    <row r="36" spans="1:33" x14ac:dyDescent="0.2">
      <c r="A36" s="186" t="s">
        <v>190</v>
      </c>
      <c r="B36" s="187">
        <v>1978</v>
      </c>
      <c r="C36" s="203">
        <v>2011</v>
      </c>
      <c r="D36" s="188">
        <v>-7.6999999999999999E-2</v>
      </c>
      <c r="E36" s="188">
        <v>0.35699999999999998</v>
      </c>
      <c r="F36" s="189">
        <f t="shared" si="0"/>
        <v>0.434</v>
      </c>
      <c r="G36" s="190">
        <v>335.5</v>
      </c>
      <c r="H36" s="191">
        <v>392</v>
      </c>
      <c r="I36" s="201">
        <f t="shared" si="1"/>
        <v>56.5</v>
      </c>
      <c r="J36" s="189">
        <f t="shared" si="2"/>
        <v>0.22454088791502466</v>
      </c>
      <c r="K36" s="192">
        <v>0</v>
      </c>
      <c r="L36" s="193">
        <v>0</v>
      </c>
      <c r="M36" s="189">
        <v>0</v>
      </c>
      <c r="N36" s="209">
        <v>0</v>
      </c>
      <c r="O36" s="191">
        <v>0</v>
      </c>
      <c r="P36" s="205">
        <f t="shared" si="3"/>
        <v>0</v>
      </c>
      <c r="Q36" s="195">
        <f t="shared" si="4"/>
        <v>0.1602330272842056</v>
      </c>
      <c r="R36" s="167">
        <f t="shared" si="5"/>
        <v>30.673226961502127</v>
      </c>
      <c r="S36" s="205">
        <f t="shared" si="6"/>
        <v>0.59286220095156072</v>
      </c>
      <c r="T36" s="195">
        <f t="shared" si="7"/>
        <v>0.1602330272842056</v>
      </c>
      <c r="U36" s="167">
        <f t="shared" si="8"/>
        <v>30.673226961502127</v>
      </c>
      <c r="V36" s="211">
        <f t="shared" si="9"/>
        <v>0.59286220095156072</v>
      </c>
      <c r="W36" s="195">
        <f t="shared" si="10"/>
        <v>0.56344231270988909</v>
      </c>
      <c r="X36" s="195">
        <f t="shared" si="11"/>
        <v>0.30087819498708079</v>
      </c>
      <c r="Y36" s="195">
        <f t="shared" si="12"/>
        <v>0.13312180501291923</v>
      </c>
      <c r="Z36" s="196">
        <f t="shared" si="13"/>
        <v>0</v>
      </c>
      <c r="AA36" s="196">
        <f t="shared" si="14"/>
        <v>-0.58150951559847663</v>
      </c>
      <c r="AB36" s="196">
        <f t="shared" si="15"/>
        <v>0</v>
      </c>
      <c r="AC36" s="196">
        <f t="shared" si="16"/>
        <v>0</v>
      </c>
      <c r="AD36" s="196">
        <f t="shared" si="17"/>
        <v>0</v>
      </c>
      <c r="AE36" s="196">
        <f t="shared" si="18"/>
        <v>0</v>
      </c>
      <c r="AF36" s="196">
        <f t="shared" si="19"/>
        <v>0</v>
      </c>
      <c r="AG36" s="197">
        <f t="shared" si="20"/>
        <v>0.83080128528559127</v>
      </c>
    </row>
    <row r="37" spans="1:33" x14ac:dyDescent="0.2">
      <c r="A37" s="186" t="s">
        <v>244</v>
      </c>
      <c r="B37" s="187">
        <v>1983</v>
      </c>
      <c r="C37" s="203">
        <v>2011</v>
      </c>
      <c r="D37" s="188">
        <v>-7.0999999999999994E-2</v>
      </c>
      <c r="E37" s="188">
        <v>0.35699999999999998</v>
      </c>
      <c r="F37" s="189">
        <f t="shared" si="0"/>
        <v>0.42799999999999999</v>
      </c>
      <c r="G37" s="190">
        <v>343</v>
      </c>
      <c r="H37" s="191">
        <v>392</v>
      </c>
      <c r="I37" s="201">
        <f t="shared" si="1"/>
        <v>49</v>
      </c>
      <c r="J37" s="189">
        <f t="shared" si="2"/>
        <v>0.19264507794239583</v>
      </c>
      <c r="K37" s="192">
        <v>0</v>
      </c>
      <c r="L37" s="193">
        <v>0</v>
      </c>
      <c r="M37" s="189">
        <v>0</v>
      </c>
      <c r="N37" s="209">
        <v>0</v>
      </c>
      <c r="O37" s="191">
        <v>0</v>
      </c>
      <c r="P37" s="205">
        <f t="shared" si="3"/>
        <v>0</v>
      </c>
      <c r="Q37" s="195">
        <f t="shared" si="4"/>
        <v>0.10437209580841546</v>
      </c>
      <c r="R37" s="167">
        <f t="shared" si="5"/>
        <v>17.382021254319298</v>
      </c>
      <c r="S37" s="205">
        <f t="shared" si="6"/>
        <v>0.3861767544911372</v>
      </c>
      <c r="T37" s="195">
        <f t="shared" si="7"/>
        <v>0.10437209580841546</v>
      </c>
      <c r="U37" s="167">
        <f t="shared" si="8"/>
        <v>17.382021254319298</v>
      </c>
      <c r="V37" s="211">
        <f t="shared" si="9"/>
        <v>0.3861767544911372</v>
      </c>
      <c r="W37" s="195">
        <f t="shared" si="10"/>
        <v>0.66218155249347088</v>
      </c>
      <c r="X37" s="195">
        <f t="shared" si="11"/>
        <v>0.35360494903151346</v>
      </c>
      <c r="Y37" s="195">
        <f t="shared" si="12"/>
        <v>7.4395050968486587E-2</v>
      </c>
      <c r="Z37" s="196">
        <f t="shared" si="13"/>
        <v>0</v>
      </c>
      <c r="AA37" s="196">
        <f t="shared" si="14"/>
        <v>-0.57347021353951144</v>
      </c>
      <c r="AB37" s="196">
        <f t="shared" si="15"/>
        <v>0</v>
      </c>
      <c r="AC37" s="196">
        <f t="shared" si="16"/>
        <v>0</v>
      </c>
      <c r="AD37" s="196">
        <f t="shared" si="17"/>
        <v>0</v>
      </c>
      <c r="AE37" s="196">
        <f t="shared" si="18"/>
        <v>0</v>
      </c>
      <c r="AF37" s="196">
        <f t="shared" si="19"/>
        <v>0</v>
      </c>
      <c r="AG37" s="197">
        <f t="shared" si="20"/>
        <v>0.7127867883868646</v>
      </c>
    </row>
    <row r="38" spans="1:33" x14ac:dyDescent="0.2">
      <c r="A38" s="199"/>
      <c r="B38" s="187"/>
      <c r="C38" s="203"/>
      <c r="D38" s="188"/>
      <c r="E38" s="188"/>
      <c r="F38" s="189"/>
      <c r="G38" s="190"/>
      <c r="H38" s="191"/>
      <c r="I38" s="189"/>
      <c r="J38" s="189"/>
      <c r="K38" s="192"/>
      <c r="L38" s="193"/>
      <c r="M38" s="189"/>
      <c r="N38" s="194"/>
      <c r="O38" s="191"/>
      <c r="P38" s="205"/>
      <c r="Q38" s="195"/>
      <c r="R38" s="167"/>
      <c r="S38" s="205"/>
      <c r="T38" s="195"/>
      <c r="U38" s="167"/>
      <c r="V38" s="195"/>
      <c r="W38" s="195"/>
      <c r="X38" s="195"/>
      <c r="Y38" s="195"/>
      <c r="Z38" s="196"/>
      <c r="AA38" s="196"/>
      <c r="AB38" s="196"/>
      <c r="AC38" s="196"/>
      <c r="AD38" s="196"/>
      <c r="AE38" s="196"/>
      <c r="AF38" s="196"/>
      <c r="AG38" s="197"/>
    </row>
    <row r="40" spans="1:33" ht="12.75" x14ac:dyDescent="0.2">
      <c r="A40" s="65" t="s">
        <v>241</v>
      </c>
    </row>
    <row r="46" spans="1:33" ht="12.75" x14ac:dyDescent="0.2">
      <c r="A46" s="65" t="s">
        <v>239</v>
      </c>
    </row>
  </sheetData>
  <sortState ref="A7:AG37">
    <sortCondition ref="A7:A37"/>
  </sortState>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Equation.DSMT4" shapeId="4139" r:id="rId4">
          <objectPr defaultSize="0" autoPict="0" r:id="rId5">
            <anchor moveWithCells="1">
              <from>
                <xdr:col>5</xdr:col>
                <xdr:colOff>133350</xdr:colOff>
                <xdr:row>4</xdr:row>
                <xdr:rowOff>19050</xdr:rowOff>
              </from>
              <to>
                <xdr:col>5</xdr:col>
                <xdr:colOff>400050</xdr:colOff>
                <xdr:row>4</xdr:row>
                <xdr:rowOff>247650</xdr:rowOff>
              </to>
            </anchor>
          </objectPr>
        </oleObject>
      </mc:Choice>
      <mc:Fallback>
        <oleObject progId="Equation.DSMT4" shapeId="4139" r:id="rId4"/>
      </mc:Fallback>
    </mc:AlternateContent>
    <mc:AlternateContent xmlns:mc="http://schemas.openxmlformats.org/markup-compatibility/2006">
      <mc:Choice Requires="x14">
        <oleObject progId="Equation.DSMT4" shapeId="4140" r:id="rId6">
          <objectPr defaultSize="0" autoPict="0" r:id="rId7">
            <anchor moveWithCells="1">
              <from>
                <xdr:col>6</xdr:col>
                <xdr:colOff>142875</xdr:colOff>
                <xdr:row>4</xdr:row>
                <xdr:rowOff>28575</xdr:rowOff>
              </from>
              <to>
                <xdr:col>6</xdr:col>
                <xdr:colOff>333375</xdr:colOff>
                <xdr:row>4</xdr:row>
                <xdr:rowOff>257175</xdr:rowOff>
              </to>
            </anchor>
          </objectPr>
        </oleObject>
      </mc:Choice>
      <mc:Fallback>
        <oleObject progId="Equation.DSMT4" shapeId="4140" r:id="rId6"/>
      </mc:Fallback>
    </mc:AlternateContent>
    <mc:AlternateContent xmlns:mc="http://schemas.openxmlformats.org/markup-compatibility/2006">
      <mc:Choice Requires="x14">
        <oleObject progId="Equation.DSMT4" shapeId="4142" r:id="rId8">
          <objectPr defaultSize="0" autoPict="0" r:id="rId9">
            <anchor moveWithCells="1">
              <from>
                <xdr:col>7</xdr:col>
                <xdr:colOff>19050</xdr:colOff>
                <xdr:row>4</xdr:row>
                <xdr:rowOff>28575</xdr:rowOff>
              </from>
              <to>
                <xdr:col>7</xdr:col>
                <xdr:colOff>571500</xdr:colOff>
                <xdr:row>4</xdr:row>
                <xdr:rowOff>257175</xdr:rowOff>
              </to>
            </anchor>
          </objectPr>
        </oleObject>
      </mc:Choice>
      <mc:Fallback>
        <oleObject progId="Equation.DSMT4" shapeId="4142" r:id="rId8"/>
      </mc:Fallback>
    </mc:AlternateContent>
    <mc:AlternateContent xmlns:mc="http://schemas.openxmlformats.org/markup-compatibility/2006">
      <mc:Choice Requires="x14">
        <oleObject progId="Equation.DSMT4" shapeId="4143" r:id="rId10">
          <objectPr defaultSize="0" autoPict="0" r:id="rId11">
            <anchor moveWithCells="1">
              <from>
                <xdr:col>9</xdr:col>
                <xdr:colOff>161925</xdr:colOff>
                <xdr:row>4</xdr:row>
                <xdr:rowOff>38100</xdr:rowOff>
              </from>
              <to>
                <xdr:col>9</xdr:col>
                <xdr:colOff>390525</xdr:colOff>
                <xdr:row>4</xdr:row>
                <xdr:rowOff>209550</xdr:rowOff>
              </to>
            </anchor>
          </objectPr>
        </oleObject>
      </mc:Choice>
      <mc:Fallback>
        <oleObject progId="Equation.DSMT4" shapeId="4143" r:id="rId10"/>
      </mc:Fallback>
    </mc:AlternateContent>
    <mc:AlternateContent xmlns:mc="http://schemas.openxmlformats.org/markup-compatibility/2006">
      <mc:Choice Requires="x14">
        <oleObject progId="Equation.DSMT4" shapeId="4145" r:id="rId12">
          <objectPr defaultSize="0" autoPict="0" r:id="rId13">
            <anchor moveWithCells="1">
              <from>
                <xdr:col>0</xdr:col>
                <xdr:colOff>38100</xdr:colOff>
                <xdr:row>40</xdr:row>
                <xdr:rowOff>19050</xdr:rowOff>
              </from>
              <to>
                <xdr:col>2</xdr:col>
                <xdr:colOff>285750</xdr:colOff>
                <xdr:row>43</xdr:row>
                <xdr:rowOff>57150</xdr:rowOff>
              </to>
            </anchor>
          </objectPr>
        </oleObject>
      </mc:Choice>
      <mc:Fallback>
        <oleObject progId="Equation.DSMT4" shapeId="4145" r:id="rId12"/>
      </mc:Fallback>
    </mc:AlternateContent>
    <mc:AlternateContent xmlns:mc="http://schemas.openxmlformats.org/markup-compatibility/2006">
      <mc:Choice Requires="x14">
        <oleObject progId="Equation.DSMT4" shapeId="4147" r:id="rId14">
          <objectPr defaultSize="0" autoPict="0" r:id="rId15">
            <anchor moveWithCells="1">
              <from>
                <xdr:col>10</xdr:col>
                <xdr:colOff>114300</xdr:colOff>
                <xdr:row>4</xdr:row>
                <xdr:rowOff>28575</xdr:rowOff>
              </from>
              <to>
                <xdr:col>10</xdr:col>
                <xdr:colOff>419100</xdr:colOff>
                <xdr:row>4</xdr:row>
                <xdr:rowOff>257175</xdr:rowOff>
              </to>
            </anchor>
          </objectPr>
        </oleObject>
      </mc:Choice>
      <mc:Fallback>
        <oleObject progId="Equation.DSMT4" shapeId="4147" r:id="rId14"/>
      </mc:Fallback>
    </mc:AlternateContent>
    <mc:AlternateContent xmlns:mc="http://schemas.openxmlformats.org/markup-compatibility/2006">
      <mc:Choice Requires="x14">
        <oleObject progId="Equation.DSMT4" shapeId="4148" r:id="rId16">
          <objectPr defaultSize="0" autoPict="0" r:id="rId17">
            <anchor moveWithCells="1">
              <from>
                <xdr:col>11</xdr:col>
                <xdr:colOff>123825</xdr:colOff>
                <xdr:row>4</xdr:row>
                <xdr:rowOff>9525</xdr:rowOff>
              </from>
              <to>
                <xdr:col>11</xdr:col>
                <xdr:colOff>409575</xdr:colOff>
                <xdr:row>4</xdr:row>
                <xdr:rowOff>247650</xdr:rowOff>
              </to>
            </anchor>
          </objectPr>
        </oleObject>
      </mc:Choice>
      <mc:Fallback>
        <oleObject progId="Equation.DSMT4" shapeId="4148" r:id="rId16"/>
      </mc:Fallback>
    </mc:AlternateContent>
    <mc:AlternateContent xmlns:mc="http://schemas.openxmlformats.org/markup-compatibility/2006">
      <mc:Choice Requires="x14">
        <oleObject progId="Equation.DSMT4" shapeId="4153" r:id="rId18">
          <objectPr defaultSize="0" autoPict="0" r:id="rId19">
            <anchor moveWithCells="1">
              <from>
                <xdr:col>3</xdr:col>
                <xdr:colOff>123825</xdr:colOff>
                <xdr:row>4</xdr:row>
                <xdr:rowOff>0</xdr:rowOff>
              </from>
              <to>
                <xdr:col>3</xdr:col>
                <xdr:colOff>361950</xdr:colOff>
                <xdr:row>4</xdr:row>
                <xdr:rowOff>247650</xdr:rowOff>
              </to>
            </anchor>
          </objectPr>
        </oleObject>
      </mc:Choice>
      <mc:Fallback>
        <oleObject progId="Equation.DSMT4" shapeId="4153" r:id="rId18"/>
      </mc:Fallback>
    </mc:AlternateContent>
    <mc:AlternateContent xmlns:mc="http://schemas.openxmlformats.org/markup-compatibility/2006">
      <mc:Choice Requires="x14">
        <oleObject progId="Equation.DSMT4" shapeId="4154" r:id="rId20">
          <objectPr defaultSize="0" autoPict="0" r:id="rId21">
            <anchor moveWithCells="1">
              <from>
                <xdr:col>4</xdr:col>
                <xdr:colOff>19050</xdr:colOff>
                <xdr:row>4</xdr:row>
                <xdr:rowOff>19050</xdr:rowOff>
              </from>
              <to>
                <xdr:col>4</xdr:col>
                <xdr:colOff>628650</xdr:colOff>
                <xdr:row>4</xdr:row>
                <xdr:rowOff>266700</xdr:rowOff>
              </to>
            </anchor>
          </objectPr>
        </oleObject>
      </mc:Choice>
      <mc:Fallback>
        <oleObject progId="Equation.DSMT4" shapeId="4154" r:id="rId20"/>
      </mc:Fallback>
    </mc:AlternateContent>
    <mc:AlternateContent xmlns:mc="http://schemas.openxmlformats.org/markup-compatibility/2006">
      <mc:Choice Requires="x14">
        <oleObject progId="Equation.DSMT4" shapeId="4157" r:id="rId22">
          <objectPr defaultSize="0" autoPict="0" r:id="rId23">
            <anchor moveWithCells="1">
              <from>
                <xdr:col>12</xdr:col>
                <xdr:colOff>123825</xdr:colOff>
                <xdr:row>4</xdr:row>
                <xdr:rowOff>38100</xdr:rowOff>
              </from>
              <to>
                <xdr:col>12</xdr:col>
                <xdr:colOff>361950</xdr:colOff>
                <xdr:row>4</xdr:row>
                <xdr:rowOff>200025</xdr:rowOff>
              </to>
            </anchor>
          </objectPr>
        </oleObject>
      </mc:Choice>
      <mc:Fallback>
        <oleObject progId="Equation.DSMT4" shapeId="4157" r:id="rId22"/>
      </mc:Fallback>
    </mc:AlternateContent>
    <mc:AlternateContent xmlns:mc="http://schemas.openxmlformats.org/markup-compatibility/2006">
      <mc:Choice Requires="x14">
        <oleObject progId="Equation.DSMT4" shapeId="4163" r:id="rId24">
          <objectPr defaultSize="0" autoPict="0" r:id="rId25">
            <anchor moveWithCells="1">
              <from>
                <xdr:col>2</xdr:col>
                <xdr:colOff>428625</xdr:colOff>
                <xdr:row>40</xdr:row>
                <xdr:rowOff>57150</xdr:rowOff>
              </from>
              <to>
                <xdr:col>4</xdr:col>
                <xdr:colOff>57150</xdr:colOff>
                <xdr:row>43</xdr:row>
                <xdr:rowOff>19050</xdr:rowOff>
              </to>
            </anchor>
          </objectPr>
        </oleObject>
      </mc:Choice>
      <mc:Fallback>
        <oleObject progId="Equation.DSMT4" shapeId="4163" r:id="rId24"/>
      </mc:Fallback>
    </mc:AlternateContent>
    <mc:AlternateContent xmlns:mc="http://schemas.openxmlformats.org/markup-compatibility/2006">
      <mc:Choice Requires="x14">
        <oleObject progId="Equation.DSMT4" shapeId="4164" r:id="rId26">
          <objectPr defaultSize="0" autoPict="0" r:id="rId27">
            <anchor moveWithCells="1">
              <from>
                <xdr:col>13</xdr:col>
                <xdr:colOff>76200</xdr:colOff>
                <xdr:row>4</xdr:row>
                <xdr:rowOff>19050</xdr:rowOff>
              </from>
              <to>
                <xdr:col>13</xdr:col>
                <xdr:colOff>323850</xdr:colOff>
                <xdr:row>4</xdr:row>
                <xdr:rowOff>228600</xdr:rowOff>
              </to>
            </anchor>
          </objectPr>
        </oleObject>
      </mc:Choice>
      <mc:Fallback>
        <oleObject progId="Equation.DSMT4" shapeId="4164" r:id="rId26"/>
      </mc:Fallback>
    </mc:AlternateContent>
    <mc:AlternateContent xmlns:mc="http://schemas.openxmlformats.org/markup-compatibility/2006">
      <mc:Choice Requires="x14">
        <oleObject progId="Equation.DSMT4" shapeId="4165" r:id="rId28">
          <objectPr defaultSize="0" autoPict="0" r:id="rId29">
            <anchor moveWithCells="1">
              <from>
                <xdr:col>14</xdr:col>
                <xdr:colOff>66675</xdr:colOff>
                <xdr:row>4</xdr:row>
                <xdr:rowOff>9525</xdr:rowOff>
              </from>
              <to>
                <xdr:col>14</xdr:col>
                <xdr:colOff>361950</xdr:colOff>
                <xdr:row>4</xdr:row>
                <xdr:rowOff>238125</xdr:rowOff>
              </to>
            </anchor>
          </objectPr>
        </oleObject>
      </mc:Choice>
      <mc:Fallback>
        <oleObject progId="Equation.DSMT4" shapeId="4165" r:id="rId28"/>
      </mc:Fallback>
    </mc:AlternateContent>
    <mc:AlternateContent xmlns:mc="http://schemas.openxmlformats.org/markup-compatibility/2006">
      <mc:Choice Requires="x14">
        <oleObject progId="Equation.DSMT4" shapeId="4167" r:id="rId30">
          <objectPr defaultSize="0" autoPict="0" r:id="rId31">
            <anchor moveWithCells="1">
              <from>
                <xdr:col>21</xdr:col>
                <xdr:colOff>76200</xdr:colOff>
                <xdr:row>4</xdr:row>
                <xdr:rowOff>19050</xdr:rowOff>
              </from>
              <to>
                <xdr:col>21</xdr:col>
                <xdr:colOff>409575</xdr:colOff>
                <xdr:row>4</xdr:row>
                <xdr:rowOff>209550</xdr:rowOff>
              </to>
            </anchor>
          </objectPr>
        </oleObject>
      </mc:Choice>
      <mc:Fallback>
        <oleObject progId="Equation.DSMT4" shapeId="4167" r:id="rId30"/>
      </mc:Fallback>
    </mc:AlternateContent>
    <mc:AlternateContent xmlns:mc="http://schemas.openxmlformats.org/markup-compatibility/2006">
      <mc:Choice Requires="x14">
        <oleObject progId="Equation.DSMT4" shapeId="4168" r:id="rId32">
          <objectPr defaultSize="0" autoPict="0" r:id="rId33">
            <anchor moveWithCells="1">
              <from>
                <xdr:col>20</xdr:col>
                <xdr:colOff>190500</xdr:colOff>
                <xdr:row>4</xdr:row>
                <xdr:rowOff>66675</xdr:rowOff>
              </from>
              <to>
                <xdr:col>20</xdr:col>
                <xdr:colOff>342900</xdr:colOff>
                <xdr:row>4</xdr:row>
                <xdr:rowOff>228600</xdr:rowOff>
              </to>
            </anchor>
          </objectPr>
        </oleObject>
      </mc:Choice>
      <mc:Fallback>
        <oleObject progId="Equation.DSMT4" shapeId="4168" r:id="rId32"/>
      </mc:Fallback>
    </mc:AlternateContent>
    <mc:AlternateContent xmlns:mc="http://schemas.openxmlformats.org/markup-compatibility/2006">
      <mc:Choice Requires="x14">
        <oleObject progId="Equation.DSMT4" shapeId="4173" r:id="rId34">
          <objectPr defaultSize="0" autoPict="0" r:id="rId23">
            <anchor moveWithCells="1">
              <from>
                <xdr:col>25</xdr:col>
                <xdr:colOff>133350</xdr:colOff>
                <xdr:row>4</xdr:row>
                <xdr:rowOff>38100</xdr:rowOff>
              </from>
              <to>
                <xdr:col>25</xdr:col>
                <xdr:colOff>371475</xdr:colOff>
                <xdr:row>4</xdr:row>
                <xdr:rowOff>200025</xdr:rowOff>
              </to>
            </anchor>
          </objectPr>
        </oleObject>
      </mc:Choice>
      <mc:Fallback>
        <oleObject progId="Equation.DSMT4" shapeId="4173" r:id="rId34"/>
      </mc:Fallback>
    </mc:AlternateContent>
    <mc:AlternateContent xmlns:mc="http://schemas.openxmlformats.org/markup-compatibility/2006">
      <mc:Choice Requires="x14">
        <oleObject progId="Equation.DSMT4" shapeId="4178" r:id="rId35">
          <objectPr defaultSize="0" autoPict="0" r:id="rId36">
            <anchor moveWithCells="1">
              <from>
                <xdr:col>19</xdr:col>
                <xdr:colOff>209550</xdr:colOff>
                <xdr:row>4</xdr:row>
                <xdr:rowOff>19050</xdr:rowOff>
              </from>
              <to>
                <xdr:col>19</xdr:col>
                <xdr:colOff>400050</xdr:colOff>
                <xdr:row>4</xdr:row>
                <xdr:rowOff>247650</xdr:rowOff>
              </to>
            </anchor>
          </objectPr>
        </oleObject>
      </mc:Choice>
      <mc:Fallback>
        <oleObject progId="Equation.DSMT4" shapeId="4178" r:id="rId35"/>
      </mc:Fallback>
    </mc:AlternateContent>
    <mc:AlternateContent xmlns:mc="http://schemas.openxmlformats.org/markup-compatibility/2006">
      <mc:Choice Requires="x14">
        <oleObject progId="Equation.DSMT4" shapeId="4183" r:id="rId37">
          <objectPr defaultSize="0" autoPict="0" r:id="rId38">
            <anchor moveWithCells="1">
              <from>
                <xdr:col>15</xdr:col>
                <xdr:colOff>114300</xdr:colOff>
                <xdr:row>4</xdr:row>
                <xdr:rowOff>19050</xdr:rowOff>
              </from>
              <to>
                <xdr:col>15</xdr:col>
                <xdr:colOff>381000</xdr:colOff>
                <xdr:row>4</xdr:row>
                <xdr:rowOff>228600</xdr:rowOff>
              </to>
            </anchor>
          </objectPr>
        </oleObject>
      </mc:Choice>
      <mc:Fallback>
        <oleObject progId="Equation.DSMT4" shapeId="4183" r:id="rId37"/>
      </mc:Fallback>
    </mc:AlternateContent>
    <mc:AlternateContent xmlns:mc="http://schemas.openxmlformats.org/markup-compatibility/2006">
      <mc:Choice Requires="x14">
        <oleObject progId="Equation.DSMT4" shapeId="4184" r:id="rId39">
          <objectPr defaultSize="0" autoPict="0" r:id="rId40">
            <anchor moveWithCells="1">
              <from>
                <xdr:col>4</xdr:col>
                <xdr:colOff>180975</xdr:colOff>
                <xdr:row>40</xdr:row>
                <xdr:rowOff>133350</xdr:rowOff>
              </from>
              <to>
                <xdr:col>9</xdr:col>
                <xdr:colOff>457200</xdr:colOff>
                <xdr:row>42</xdr:row>
                <xdr:rowOff>76200</xdr:rowOff>
              </to>
            </anchor>
          </objectPr>
        </oleObject>
      </mc:Choice>
      <mc:Fallback>
        <oleObject progId="Equation.DSMT4" shapeId="4184" r:id="rId39"/>
      </mc:Fallback>
    </mc:AlternateContent>
    <mc:AlternateContent xmlns:mc="http://schemas.openxmlformats.org/markup-compatibility/2006">
      <mc:Choice Requires="x14">
        <oleObject progId="Equation.DSMT4" shapeId="4185" r:id="rId41">
          <objectPr defaultSize="0" autoPict="0" r:id="rId42">
            <anchor moveWithCells="1">
              <from>
                <xdr:col>32</xdr:col>
                <xdr:colOff>0</xdr:colOff>
                <xdr:row>4</xdr:row>
                <xdr:rowOff>28575</xdr:rowOff>
              </from>
              <to>
                <xdr:col>33</xdr:col>
                <xdr:colOff>9525</xdr:colOff>
                <xdr:row>4</xdr:row>
                <xdr:rowOff>276225</xdr:rowOff>
              </to>
            </anchor>
          </objectPr>
        </oleObject>
      </mc:Choice>
      <mc:Fallback>
        <oleObject progId="Equation.DSMT4" shapeId="4185" r:id="rId41"/>
      </mc:Fallback>
    </mc:AlternateContent>
    <mc:AlternateContent xmlns:mc="http://schemas.openxmlformats.org/markup-compatibility/2006">
      <mc:Choice Requires="x14">
        <oleObject progId="Equation.DSMT4" shapeId="4186" r:id="rId43">
          <objectPr defaultSize="0" autoPict="0" r:id="rId44">
            <anchor moveWithCells="1">
              <from>
                <xdr:col>22</xdr:col>
                <xdr:colOff>123825</xdr:colOff>
                <xdr:row>4</xdr:row>
                <xdr:rowOff>38100</xdr:rowOff>
              </from>
              <to>
                <xdr:col>22</xdr:col>
                <xdr:colOff>361950</xdr:colOff>
                <xdr:row>4</xdr:row>
                <xdr:rowOff>200025</xdr:rowOff>
              </to>
            </anchor>
          </objectPr>
        </oleObject>
      </mc:Choice>
      <mc:Fallback>
        <oleObject progId="Equation.DSMT4" shapeId="4186" r:id="rId43"/>
      </mc:Fallback>
    </mc:AlternateContent>
    <mc:AlternateContent xmlns:mc="http://schemas.openxmlformats.org/markup-compatibility/2006">
      <mc:Choice Requires="x14">
        <oleObject progId="Equation.DSMT4" shapeId="4187" r:id="rId45">
          <objectPr defaultSize="0" autoPict="0" r:id="rId46">
            <anchor moveWithCells="1">
              <from>
                <xdr:col>24</xdr:col>
                <xdr:colOff>76200</xdr:colOff>
                <xdr:row>4</xdr:row>
                <xdr:rowOff>19050</xdr:rowOff>
              </from>
              <to>
                <xdr:col>24</xdr:col>
                <xdr:colOff>419100</xdr:colOff>
                <xdr:row>4</xdr:row>
                <xdr:rowOff>257175</xdr:rowOff>
              </to>
            </anchor>
          </objectPr>
        </oleObject>
      </mc:Choice>
      <mc:Fallback>
        <oleObject progId="Equation.DSMT4" shapeId="4187" r:id="rId45"/>
      </mc:Fallback>
    </mc:AlternateContent>
    <mc:AlternateContent xmlns:mc="http://schemas.openxmlformats.org/markup-compatibility/2006">
      <mc:Choice Requires="x14">
        <oleObject progId="Equation.DSMT4" shapeId="4189" r:id="rId47">
          <objectPr defaultSize="0" autoPict="0" r:id="rId48">
            <anchor moveWithCells="1">
              <from>
                <xdr:col>23</xdr:col>
                <xdr:colOff>85725</xdr:colOff>
                <xdr:row>4</xdr:row>
                <xdr:rowOff>19050</xdr:rowOff>
              </from>
              <to>
                <xdr:col>23</xdr:col>
                <xdr:colOff>447675</xdr:colOff>
                <xdr:row>4</xdr:row>
                <xdr:rowOff>266700</xdr:rowOff>
              </to>
            </anchor>
          </objectPr>
        </oleObject>
      </mc:Choice>
      <mc:Fallback>
        <oleObject progId="Equation.DSMT4" shapeId="4189" r:id="rId47"/>
      </mc:Fallback>
    </mc:AlternateContent>
    <mc:AlternateContent xmlns:mc="http://schemas.openxmlformats.org/markup-compatibility/2006">
      <mc:Choice Requires="x14">
        <oleObject progId="Equation.DSMT4" shapeId="4190" r:id="rId49">
          <objectPr defaultSize="0" autoPict="0" r:id="rId50">
            <anchor moveWithCells="1">
              <from>
                <xdr:col>14</xdr:col>
                <xdr:colOff>361950</xdr:colOff>
                <xdr:row>47</xdr:row>
                <xdr:rowOff>9525</xdr:rowOff>
              </from>
              <to>
                <xdr:col>16</xdr:col>
                <xdr:colOff>495300</xdr:colOff>
                <xdr:row>48</xdr:row>
                <xdr:rowOff>104775</xdr:rowOff>
              </to>
            </anchor>
          </objectPr>
        </oleObject>
      </mc:Choice>
      <mc:Fallback>
        <oleObject progId="Equation.DSMT4" shapeId="4190" r:id="rId49"/>
      </mc:Fallback>
    </mc:AlternateContent>
    <mc:AlternateContent xmlns:mc="http://schemas.openxmlformats.org/markup-compatibility/2006">
      <mc:Choice Requires="x14">
        <oleObject progId="Equation.DSMT4" shapeId="4191" r:id="rId51">
          <objectPr defaultSize="0" autoPict="0" r:id="rId52">
            <anchor moveWithCells="1">
              <from>
                <xdr:col>17</xdr:col>
                <xdr:colOff>47625</xdr:colOff>
                <xdr:row>47</xdr:row>
                <xdr:rowOff>19050</xdr:rowOff>
              </from>
              <to>
                <xdr:col>19</xdr:col>
                <xdr:colOff>276225</xdr:colOff>
                <xdr:row>48</xdr:row>
                <xdr:rowOff>114300</xdr:rowOff>
              </to>
            </anchor>
          </objectPr>
        </oleObject>
      </mc:Choice>
      <mc:Fallback>
        <oleObject progId="Equation.DSMT4" shapeId="4191" r:id="rId51"/>
      </mc:Fallback>
    </mc:AlternateContent>
    <mc:AlternateContent xmlns:mc="http://schemas.openxmlformats.org/markup-compatibility/2006">
      <mc:Choice Requires="x14">
        <oleObject progId="Equation.DSMT4" shapeId="4192" r:id="rId53">
          <objectPr defaultSize="0" autoPict="0" r:id="rId54">
            <anchor moveWithCells="1">
              <from>
                <xdr:col>26</xdr:col>
                <xdr:colOff>66675</xdr:colOff>
                <xdr:row>4</xdr:row>
                <xdr:rowOff>19050</xdr:rowOff>
              </from>
              <to>
                <xdr:col>26</xdr:col>
                <xdr:colOff>419100</xdr:colOff>
                <xdr:row>4</xdr:row>
                <xdr:rowOff>247650</xdr:rowOff>
              </to>
            </anchor>
          </objectPr>
        </oleObject>
      </mc:Choice>
      <mc:Fallback>
        <oleObject progId="Equation.DSMT4" shapeId="4192" r:id="rId53"/>
      </mc:Fallback>
    </mc:AlternateContent>
    <mc:AlternateContent xmlns:mc="http://schemas.openxmlformats.org/markup-compatibility/2006">
      <mc:Choice Requires="x14">
        <oleObject progId="Equation.DSMT4" shapeId="4194" r:id="rId55">
          <objectPr defaultSize="0" autoPict="0" r:id="rId56">
            <anchor moveWithCells="1">
              <from>
                <xdr:col>27</xdr:col>
                <xdr:colOff>28575</xdr:colOff>
                <xdr:row>4</xdr:row>
                <xdr:rowOff>28575</xdr:rowOff>
              </from>
              <to>
                <xdr:col>28</xdr:col>
                <xdr:colOff>19050</xdr:colOff>
                <xdr:row>4</xdr:row>
                <xdr:rowOff>257175</xdr:rowOff>
              </to>
            </anchor>
          </objectPr>
        </oleObject>
      </mc:Choice>
      <mc:Fallback>
        <oleObject progId="Equation.DSMT4" shapeId="4194" r:id="rId55"/>
      </mc:Fallback>
    </mc:AlternateContent>
    <mc:AlternateContent xmlns:mc="http://schemas.openxmlformats.org/markup-compatibility/2006">
      <mc:Choice Requires="x14">
        <oleObject progId="Equation.DSMT4" shapeId="4195" r:id="rId57">
          <objectPr defaultSize="0" autoPict="0" r:id="rId58">
            <anchor moveWithCells="1">
              <from>
                <xdr:col>28</xdr:col>
                <xdr:colOff>28575</xdr:colOff>
                <xdr:row>4</xdr:row>
                <xdr:rowOff>28575</xdr:rowOff>
              </from>
              <to>
                <xdr:col>28</xdr:col>
                <xdr:colOff>466725</xdr:colOff>
                <xdr:row>4</xdr:row>
                <xdr:rowOff>257175</xdr:rowOff>
              </to>
            </anchor>
          </objectPr>
        </oleObject>
      </mc:Choice>
      <mc:Fallback>
        <oleObject progId="Equation.DSMT4" shapeId="4195" r:id="rId57"/>
      </mc:Fallback>
    </mc:AlternateContent>
    <mc:AlternateContent xmlns:mc="http://schemas.openxmlformats.org/markup-compatibility/2006">
      <mc:Choice Requires="x14">
        <oleObject progId="Equation.DSMT4" shapeId="4196" r:id="rId59">
          <objectPr defaultSize="0" autoPict="0" r:id="rId60">
            <anchor moveWithCells="1">
              <from>
                <xdr:col>29</xdr:col>
                <xdr:colOff>85725</xdr:colOff>
                <xdr:row>4</xdr:row>
                <xdr:rowOff>28575</xdr:rowOff>
              </from>
              <to>
                <xdr:col>29</xdr:col>
                <xdr:colOff>419100</xdr:colOff>
                <xdr:row>4</xdr:row>
                <xdr:rowOff>238125</xdr:rowOff>
              </to>
            </anchor>
          </objectPr>
        </oleObject>
      </mc:Choice>
      <mc:Fallback>
        <oleObject progId="Equation.DSMT4" shapeId="4196" r:id="rId59"/>
      </mc:Fallback>
    </mc:AlternateContent>
    <mc:AlternateContent xmlns:mc="http://schemas.openxmlformats.org/markup-compatibility/2006">
      <mc:Choice Requires="x14">
        <oleObject progId="Equation.DSMT4" shapeId="4197" r:id="rId61">
          <objectPr defaultSize="0" autoPict="0" r:id="rId62">
            <anchor moveWithCells="1">
              <from>
                <xdr:col>29</xdr:col>
                <xdr:colOff>476250</xdr:colOff>
                <xdr:row>4</xdr:row>
                <xdr:rowOff>28575</xdr:rowOff>
              </from>
              <to>
                <xdr:col>30</xdr:col>
                <xdr:colOff>419100</xdr:colOff>
                <xdr:row>4</xdr:row>
                <xdr:rowOff>276225</xdr:rowOff>
              </to>
            </anchor>
          </objectPr>
        </oleObject>
      </mc:Choice>
      <mc:Fallback>
        <oleObject progId="Equation.DSMT4" shapeId="4197" r:id="rId61"/>
      </mc:Fallback>
    </mc:AlternateContent>
    <mc:AlternateContent xmlns:mc="http://schemas.openxmlformats.org/markup-compatibility/2006">
      <mc:Choice Requires="x14">
        <oleObject progId="Equation.DSMT4" shapeId="4198" r:id="rId63">
          <objectPr defaultSize="0" autoPict="0" r:id="rId64">
            <anchor moveWithCells="1">
              <from>
                <xdr:col>30</xdr:col>
                <xdr:colOff>476250</xdr:colOff>
                <xdr:row>4</xdr:row>
                <xdr:rowOff>38100</xdr:rowOff>
              </from>
              <to>
                <xdr:col>31</xdr:col>
                <xdr:colOff>457200</xdr:colOff>
                <xdr:row>4</xdr:row>
                <xdr:rowOff>266700</xdr:rowOff>
              </to>
            </anchor>
          </objectPr>
        </oleObject>
      </mc:Choice>
      <mc:Fallback>
        <oleObject progId="Equation.DSMT4" shapeId="4198" r:id="rId63"/>
      </mc:Fallback>
    </mc:AlternateContent>
    <mc:AlternateContent xmlns:mc="http://schemas.openxmlformats.org/markup-compatibility/2006">
      <mc:Choice Requires="x14">
        <oleObject progId="Equation.DSMT4" shapeId="4200" r:id="rId65">
          <objectPr defaultSize="0" autoPict="0" r:id="rId31">
            <anchor moveWithCells="1">
              <from>
                <xdr:col>18</xdr:col>
                <xdr:colOff>76200</xdr:colOff>
                <xdr:row>4</xdr:row>
                <xdr:rowOff>19050</xdr:rowOff>
              </from>
              <to>
                <xdr:col>18</xdr:col>
                <xdr:colOff>409575</xdr:colOff>
                <xdr:row>4</xdr:row>
                <xdr:rowOff>209550</xdr:rowOff>
              </to>
            </anchor>
          </objectPr>
        </oleObject>
      </mc:Choice>
      <mc:Fallback>
        <oleObject progId="Equation.DSMT4" shapeId="4200" r:id="rId65"/>
      </mc:Fallback>
    </mc:AlternateContent>
    <mc:AlternateContent xmlns:mc="http://schemas.openxmlformats.org/markup-compatibility/2006">
      <mc:Choice Requires="x14">
        <oleObject progId="Equation.DSMT4" shapeId="4201" r:id="rId66">
          <objectPr defaultSize="0" autoPict="0" r:id="rId33">
            <anchor moveWithCells="1">
              <from>
                <xdr:col>17</xdr:col>
                <xdr:colOff>200025</xdr:colOff>
                <xdr:row>4</xdr:row>
                <xdr:rowOff>66675</xdr:rowOff>
              </from>
              <to>
                <xdr:col>17</xdr:col>
                <xdr:colOff>352425</xdr:colOff>
                <xdr:row>4</xdr:row>
                <xdr:rowOff>228600</xdr:rowOff>
              </to>
            </anchor>
          </objectPr>
        </oleObject>
      </mc:Choice>
      <mc:Fallback>
        <oleObject progId="Equation.DSMT4" shapeId="4201" r:id="rId66"/>
      </mc:Fallback>
    </mc:AlternateContent>
    <mc:AlternateContent xmlns:mc="http://schemas.openxmlformats.org/markup-compatibility/2006">
      <mc:Choice Requires="x14">
        <oleObject progId="Equation.DSMT4" shapeId="4202" r:id="rId67">
          <objectPr defaultSize="0" autoPict="0" r:id="rId36">
            <anchor moveWithCells="1">
              <from>
                <xdr:col>16</xdr:col>
                <xdr:colOff>209550</xdr:colOff>
                <xdr:row>4</xdr:row>
                <xdr:rowOff>19050</xdr:rowOff>
              </from>
              <to>
                <xdr:col>16</xdr:col>
                <xdr:colOff>400050</xdr:colOff>
                <xdr:row>4</xdr:row>
                <xdr:rowOff>247650</xdr:rowOff>
              </to>
            </anchor>
          </objectPr>
        </oleObject>
      </mc:Choice>
      <mc:Fallback>
        <oleObject progId="Equation.DSMT4" shapeId="4202" r:id="rId67"/>
      </mc:Fallback>
    </mc:AlternateContent>
    <mc:AlternateContent xmlns:mc="http://schemas.openxmlformats.org/markup-compatibility/2006">
      <mc:Choice Requires="x14">
        <oleObject progId="Equation.DSMT4" shapeId="4207" r:id="rId68">
          <objectPr defaultSize="0" autoPict="0" r:id="rId69">
            <anchor moveWithCells="1">
              <from>
                <xdr:col>3</xdr:col>
                <xdr:colOff>123825</xdr:colOff>
                <xdr:row>46</xdr:row>
                <xdr:rowOff>66675</xdr:rowOff>
              </from>
              <to>
                <xdr:col>5</xdr:col>
                <xdr:colOff>447675</xdr:colOff>
                <xdr:row>49</xdr:row>
                <xdr:rowOff>57150</xdr:rowOff>
              </to>
            </anchor>
          </objectPr>
        </oleObject>
      </mc:Choice>
      <mc:Fallback>
        <oleObject progId="Equation.DSMT4" shapeId="4207" r:id="rId68"/>
      </mc:Fallback>
    </mc:AlternateContent>
    <mc:AlternateContent xmlns:mc="http://schemas.openxmlformats.org/markup-compatibility/2006">
      <mc:Choice Requires="x14">
        <oleObject progId="Equation.DSMT4" shapeId="4208" r:id="rId70">
          <objectPr defaultSize="0" autoPict="0" r:id="rId71">
            <anchor moveWithCells="1">
              <from>
                <xdr:col>6</xdr:col>
                <xdr:colOff>95250</xdr:colOff>
                <xdr:row>46</xdr:row>
                <xdr:rowOff>142875</xdr:rowOff>
              </from>
              <to>
                <xdr:col>9</xdr:col>
                <xdr:colOff>238125</xdr:colOff>
                <xdr:row>48</xdr:row>
                <xdr:rowOff>123825</xdr:rowOff>
              </to>
            </anchor>
          </objectPr>
        </oleObject>
      </mc:Choice>
      <mc:Fallback>
        <oleObject progId="Equation.DSMT4" shapeId="4208" r:id="rId70"/>
      </mc:Fallback>
    </mc:AlternateContent>
    <mc:AlternateContent xmlns:mc="http://schemas.openxmlformats.org/markup-compatibility/2006">
      <mc:Choice Requires="x14">
        <oleObject progId="Equation.DSMT4" shapeId="4211" r:id="rId72">
          <objectPr defaultSize="0" autoPict="0" r:id="rId73">
            <anchor moveWithCells="1">
              <from>
                <xdr:col>0</xdr:col>
                <xdr:colOff>47625</xdr:colOff>
                <xdr:row>46</xdr:row>
                <xdr:rowOff>28575</xdr:rowOff>
              </from>
              <to>
                <xdr:col>2</xdr:col>
                <xdr:colOff>704850</xdr:colOff>
                <xdr:row>49</xdr:row>
                <xdr:rowOff>85725</xdr:rowOff>
              </to>
            </anchor>
          </objectPr>
        </oleObject>
      </mc:Choice>
      <mc:Fallback>
        <oleObject progId="Equation.DSMT4" shapeId="4211" r:id="rId72"/>
      </mc:Fallback>
    </mc:AlternateContent>
    <mc:AlternateContent xmlns:mc="http://schemas.openxmlformats.org/markup-compatibility/2006">
      <mc:Choice Requires="x14">
        <oleObject progId="Equation.DSMT4" shapeId="4212" r:id="rId74">
          <objectPr defaultSize="0" autoPict="0" r:id="rId75">
            <anchor moveWithCells="1">
              <from>
                <xdr:col>10</xdr:col>
                <xdr:colOff>428625</xdr:colOff>
                <xdr:row>47</xdr:row>
                <xdr:rowOff>9525</xdr:rowOff>
              </from>
              <to>
                <xdr:col>14</xdr:col>
                <xdr:colOff>257175</xdr:colOff>
                <xdr:row>48</xdr:row>
                <xdr:rowOff>104775</xdr:rowOff>
              </to>
            </anchor>
          </objectPr>
        </oleObject>
      </mc:Choice>
      <mc:Fallback>
        <oleObject progId="Equation.DSMT4" shapeId="4212" r:id="rId74"/>
      </mc:Fallback>
    </mc:AlternateContent>
    <mc:AlternateContent xmlns:mc="http://schemas.openxmlformats.org/markup-compatibility/2006">
      <mc:Choice Requires="x14">
        <oleObject progId="Equation.DSMT4" shapeId="4228" r:id="rId76">
          <objectPr defaultSize="0" autoPict="0" r:id="rId77">
            <anchor moveWithCells="1">
              <from>
                <xdr:col>8</xdr:col>
                <xdr:colOff>114300</xdr:colOff>
                <xdr:row>4</xdr:row>
                <xdr:rowOff>38100</xdr:rowOff>
              </from>
              <to>
                <xdr:col>8</xdr:col>
                <xdr:colOff>381000</xdr:colOff>
                <xdr:row>4</xdr:row>
                <xdr:rowOff>228600</xdr:rowOff>
              </to>
            </anchor>
          </objectPr>
        </oleObject>
      </mc:Choice>
      <mc:Fallback>
        <oleObject progId="Equation.DSMT4" shapeId="4228" r:id="rId7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66</vt:i4>
      </vt:variant>
    </vt:vector>
  </HeadingPairs>
  <TitlesOfParts>
    <vt:vector size="71" baseType="lpstr">
      <vt:lpstr>Intro</vt:lpstr>
      <vt:lpstr>OLR Model</vt:lpstr>
      <vt:lpstr>Sensitivities</vt:lpstr>
      <vt:lpstr>Alternative Model</vt:lpstr>
      <vt:lpstr>Estimates</vt:lpstr>
      <vt:lpstr>bandWidthDegrees</vt:lpstr>
      <vt:lpstr>cloudFraction</vt:lpstr>
      <vt:lpstr>DBeta</vt:lpstr>
      <vt:lpstr>deltaBeta</vt:lpstr>
      <vt:lpstr>deltaGamma</vt:lpstr>
      <vt:lpstr>deltaHM</vt:lpstr>
      <vt:lpstr>deltaHU</vt:lpstr>
      <vt:lpstr>deltaHW</vt:lpstr>
      <vt:lpstr>deltaL</vt:lpstr>
      <vt:lpstr>deltaQ</vt:lpstr>
      <vt:lpstr>deltaR</vt:lpstr>
      <vt:lpstr>deltaTS</vt:lpstr>
      <vt:lpstr>DR2X</vt:lpstr>
      <vt:lpstr>epsilon</vt:lpstr>
      <vt:lpstr>epsilonSurface</vt:lpstr>
      <vt:lpstr>fAlpha</vt:lpstr>
      <vt:lpstr>fLR</vt:lpstr>
      <vt:lpstr>g</vt:lpstr>
      <vt:lpstr>gCPartial</vt:lpstr>
      <vt:lpstr>gCUniform</vt:lpstr>
      <vt:lpstr>gMPartial</vt:lpstr>
      <vt:lpstr>gMUniform</vt:lpstr>
      <vt:lpstr>gPartial</vt:lpstr>
      <vt:lpstr>gUniform</vt:lpstr>
      <vt:lpstr>gUPartial</vt:lpstr>
      <vt:lpstr>gUUniform</vt:lpstr>
      <vt:lpstr>gWPartial</vt:lpstr>
      <vt:lpstr>gWUniform</vt:lpstr>
      <vt:lpstr>lambdaC</vt:lpstr>
      <vt:lpstr>lambdaCSimple</vt:lpstr>
      <vt:lpstr>lambdaSB</vt:lpstr>
      <vt:lpstr>lapseRate0</vt:lpstr>
      <vt:lpstr>M</vt:lpstr>
      <vt:lpstr>omega</vt:lpstr>
      <vt:lpstr>R_C</vt:lpstr>
      <vt:lpstr>R_M</vt:lpstr>
      <vt:lpstr>R_S</vt:lpstr>
      <vt:lpstr>R_U</vt:lpstr>
      <vt:lpstr>R_W</vt:lpstr>
      <vt:lpstr>R_Z</vt:lpstr>
      <vt:lpstr>radiusOfEarth</vt:lpstr>
      <vt:lpstr>RS_clearsky</vt:lpstr>
      <vt:lpstr>RU_overcast</vt:lpstr>
      <vt:lpstr>sigma</vt:lpstr>
      <vt:lpstr>sigmaEpsilon</vt:lpstr>
      <vt:lpstr>tau</vt:lpstr>
      <vt:lpstr>tauC</vt:lpstr>
      <vt:lpstr>tauCSensitivity</vt:lpstr>
      <vt:lpstr>tauM</vt:lpstr>
      <vt:lpstr>tauS</vt:lpstr>
      <vt:lpstr>tauU</vt:lpstr>
      <vt:lpstr>tauW</vt:lpstr>
      <vt:lpstr>TempEquator</vt:lpstr>
      <vt:lpstr>temperatureIncrEL</vt:lpstr>
      <vt:lpstr>temperatureIncrLat</vt:lpstr>
      <vt:lpstr>temperatureIncrSeason</vt:lpstr>
      <vt:lpstr>temperatureIncrTimeOfDay</vt:lpstr>
      <vt:lpstr>TempMaxInDay</vt:lpstr>
      <vt:lpstr>TempRangeInDay</vt:lpstr>
      <vt:lpstr>TempSeason</vt:lpstr>
      <vt:lpstr>thetaM</vt:lpstr>
      <vt:lpstr>thetaU</vt:lpstr>
      <vt:lpstr>thetaW</vt:lpstr>
      <vt:lpstr>treatCO2ELAsSBEmitter</vt:lpstr>
      <vt:lpstr>TS</vt:lpstr>
      <vt:lpstr>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Evans</dc:creator>
  <cp:lastModifiedBy>David Evans</cp:lastModifiedBy>
  <dcterms:created xsi:type="dcterms:W3CDTF">2014-11-02T15:02:39Z</dcterms:created>
  <dcterms:modified xsi:type="dcterms:W3CDTF">2015-11-02T07:47:09Z</dcterms:modified>
</cp:coreProperties>
</file>